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01"/>
  <workbookPr defaultThemeVersion="124226"/>
  <mc:AlternateContent xmlns:mc="http://schemas.openxmlformats.org/markup-compatibility/2006">
    <mc:Choice Requires="x15">
      <x15ac:absPath xmlns:x15ac="http://schemas.microsoft.com/office/spreadsheetml/2010/11/ac" url="G:\Inf_inst_Unidad\Gerencia General\ARCHIVO\2021\Consecutivo\GG-OF-0558-2021 Greivin Hernández González DESAF Informe Cumplimiento 1er Trimestre 2021\"/>
    </mc:Choice>
  </mc:AlternateContent>
  <xr:revisionPtr revIDLastSave="0" documentId="8_{418A7DD0-96A2-4467-A001-8CD13C70B2B7}" xr6:coauthVersionLast="46" xr6:coauthVersionMax="46" xr10:uidLastSave="{00000000-0000-0000-0000-000000000000}"/>
  <bookViews>
    <workbookView xWindow="-120" yWindow="-120" windowWidth="20730" windowHeight="11160"/>
  </bookViews>
  <sheets>
    <sheet name="2" sheetId="1" r:id="rId1"/>
    <sheet name="3" sheetId="2" r:id="rId2"/>
    <sheet name="4" sheetId="25" r:id="rId3"/>
    <sheet name="5a" sheetId="20" r:id="rId4"/>
    <sheet name="5b" sheetId="29" r:id="rId5"/>
    <sheet name="5c" sheetId="33" r:id="rId6"/>
    <sheet name="6" sheetId="7" r:id="rId7"/>
    <sheet name="7" sheetId="49" r:id="rId8"/>
  </sheets>
  <externalReferences>
    <externalReference r:id="rId9"/>
    <externalReference r:id="rId10"/>
    <externalReference r:id="rId11"/>
  </externalReferences>
  <definedNames>
    <definedName name="_xlnm._FilterDatabase" localSheetId="3" hidden="1">'5a'!$A$5:$H$5</definedName>
    <definedName name="_xlnm._FilterDatabase" localSheetId="4" hidden="1">'5b'!$A$5:$K$5</definedName>
    <definedName name="_xlnm._FilterDatabase" localSheetId="5" hidden="1">'5c'!$A$5:$K$5</definedName>
    <definedName name="_xlnm.Print_Area" localSheetId="0">'2'!$A$1:$E$26</definedName>
    <definedName name="_xlnm.Print_Area" localSheetId="1">'3'!$A$1:$G$10</definedName>
    <definedName name="_xlnm.Print_Area" localSheetId="2">'4'!$A$11:$L$98</definedName>
    <definedName name="_xlnm.Print_Area" localSheetId="6">'6'!$A$1:$E$37</definedName>
    <definedName name="Disponibilidad_ARTICULO_59." localSheetId="4">#REF!</definedName>
    <definedName name="Disponibilidad_ARTICULO_59." localSheetId="5">#REF!</definedName>
    <definedName name="Disponibilidad_ARTICULO_59.">#REF!</definedName>
    <definedName name="nombre_1">'[1]INFORMACION DE INGRESOS Y FIS'!$B$6</definedName>
    <definedName name="nombre_10">'[2]INFORMACION DE INGRESOS Y FIS'!$B$13</definedName>
    <definedName name="nombre_11">'[2]INFORMACION DE INGRESOS Y FIS'!$B$14</definedName>
    <definedName name="nombre_12">'[2]INFORMACION DE INGRESOS Y FIS'!$B$15</definedName>
    <definedName name="nombre_13">'[2]INFORMACION DE INGRESOS Y FIS'!$B$16</definedName>
    <definedName name="nombre_14">'[2]INFORMACION DE INGRESOS Y FIS'!$B$17</definedName>
    <definedName name="nombre_2">'[1]INFORMACION DE INGRESOS Y FIS'!$B$7</definedName>
    <definedName name="nombre_3">'[1]INFORMACION DE INGRESOS Y FIS'!$B$8</definedName>
    <definedName name="nombre_4">'[1]INFORMACION DE INGRESOS Y FIS'!$B$9</definedName>
    <definedName name="nombre_5">'[2]INFORMACION DE INGRESOS Y FIS'!$B$8</definedName>
    <definedName name="nombre_6">'[2]INFORMACION DE INGRESOS Y FIS'!$B$9</definedName>
    <definedName name="nombre_7">'[2]INFORMACION DE INGRESOS Y FIS'!$B$10</definedName>
    <definedName name="nombre_8">'[2]INFORMACION DE INGRESOS Y FIS'!$B$11</definedName>
    <definedName name="nombre_9">'[2]INFORMACION DE INGRESOS Y FIS'!$B$12</definedName>
    <definedName name="_xlnm.Print_Titles" localSheetId="2">'4'!$1:$8</definedName>
    <definedName name="TRT">'[3]INFORMACION DE INGRESOS Y FIS'!$B$11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47" i="49" l="1"/>
  <c r="W647" i="49"/>
  <c r="V647" i="49"/>
  <c r="U647" i="49"/>
  <c r="T647" i="49"/>
  <c r="P647" i="49"/>
  <c r="O647" i="49"/>
  <c r="M647" i="49"/>
  <c r="K647" i="49"/>
  <c r="J647" i="49"/>
  <c r="H647" i="49"/>
  <c r="G647" i="49"/>
  <c r="X646" i="49"/>
  <c r="O646" i="49"/>
  <c r="N646" i="49"/>
  <c r="N647" i="49"/>
  <c r="M646" i="49"/>
  <c r="L646" i="49"/>
  <c r="L647" i="49"/>
  <c r="I646" i="49"/>
  <c r="I647" i="49"/>
  <c r="X645" i="49"/>
  <c r="O645" i="49"/>
  <c r="N645" i="49"/>
  <c r="M645" i="49"/>
  <c r="L645" i="49"/>
  <c r="I645" i="49"/>
  <c r="W643" i="49"/>
  <c r="V643" i="49"/>
  <c r="U643" i="49"/>
  <c r="P643" i="49"/>
  <c r="K643" i="49"/>
  <c r="J643" i="49"/>
  <c r="H643" i="49"/>
  <c r="N642" i="49"/>
  <c r="J642" i="49"/>
  <c r="I642" i="49"/>
  <c r="X641" i="49"/>
  <c r="X643" i="49"/>
  <c r="U641" i="49"/>
  <c r="T641" i="49"/>
  <c r="T643" i="49"/>
  <c r="O641" i="49"/>
  <c r="N641" i="49"/>
  <c r="N643" i="49"/>
  <c r="M641" i="49"/>
  <c r="L641" i="49"/>
  <c r="J641" i="49"/>
  <c r="I641" i="49"/>
  <c r="I643" i="49"/>
  <c r="G641" i="49"/>
  <c r="G643" i="49"/>
  <c r="W638" i="49"/>
  <c r="V638" i="49"/>
  <c r="U638" i="49"/>
  <c r="T638" i="49"/>
  <c r="K638" i="49"/>
  <c r="H638" i="49"/>
  <c r="X637" i="49"/>
  <c r="N637" i="49"/>
  <c r="J637" i="49"/>
  <c r="L637" i="49"/>
  <c r="G637" i="49"/>
  <c r="M637" i="49"/>
  <c r="O637" i="49"/>
  <c r="X636" i="49"/>
  <c r="P636" i="49"/>
  <c r="P638" i="49"/>
  <c r="O636" i="49"/>
  <c r="N636" i="49"/>
  <c r="M636" i="49"/>
  <c r="L636" i="49"/>
  <c r="J636" i="49"/>
  <c r="I636" i="49"/>
  <c r="X635" i="49"/>
  <c r="X638" i="49"/>
  <c r="N635" i="49"/>
  <c r="N638" i="49"/>
  <c r="J635" i="49"/>
  <c r="G635" i="49"/>
  <c r="W632" i="49"/>
  <c r="V632" i="49"/>
  <c r="U632" i="49"/>
  <c r="T632" i="49"/>
  <c r="P632" i="49"/>
  <c r="K632" i="49"/>
  <c r="H632" i="49"/>
  <c r="G632" i="49"/>
  <c r="X631" i="49"/>
  <c r="N631" i="49"/>
  <c r="M631" i="49"/>
  <c r="O631" i="49"/>
  <c r="L631" i="49"/>
  <c r="I631" i="49"/>
  <c r="I632" i="49"/>
  <c r="X630" i="49"/>
  <c r="X632" i="49"/>
  <c r="N630" i="49"/>
  <c r="N632" i="49"/>
  <c r="J630" i="49"/>
  <c r="M630" i="49"/>
  <c r="I630" i="49"/>
  <c r="W627" i="49"/>
  <c r="V627" i="49"/>
  <c r="U627" i="49"/>
  <c r="P627" i="49"/>
  <c r="K627" i="49"/>
  <c r="J627" i="49"/>
  <c r="H627" i="49"/>
  <c r="X626" i="49"/>
  <c r="N626" i="49"/>
  <c r="O626" i="49"/>
  <c r="M626" i="49"/>
  <c r="L626" i="49"/>
  <c r="I626" i="49"/>
  <c r="X625" i="49"/>
  <c r="O625" i="49"/>
  <c r="N625" i="49"/>
  <c r="M625" i="49"/>
  <c r="L625" i="49"/>
  <c r="I625" i="49"/>
  <c r="X624" i="49"/>
  <c r="N624" i="49"/>
  <c r="M624" i="49"/>
  <c r="O624" i="49"/>
  <c r="L624" i="49"/>
  <c r="I624" i="49"/>
  <c r="X623" i="49"/>
  <c r="N623" i="49"/>
  <c r="M623" i="49"/>
  <c r="O623" i="49"/>
  <c r="L623" i="49"/>
  <c r="I623" i="49"/>
  <c r="X622" i="49"/>
  <c r="N622" i="49"/>
  <c r="M622" i="49"/>
  <c r="O622" i="49"/>
  <c r="L622" i="49"/>
  <c r="I622" i="49"/>
  <c r="X621" i="49"/>
  <c r="O621" i="49"/>
  <c r="N621" i="49"/>
  <c r="M621" i="49"/>
  <c r="L621" i="49"/>
  <c r="I621" i="49"/>
  <c r="X620" i="49"/>
  <c r="N620" i="49"/>
  <c r="M620" i="49"/>
  <c r="O620" i="49"/>
  <c r="L620" i="49"/>
  <c r="I620" i="49"/>
  <c r="X619" i="49"/>
  <c r="U619" i="49"/>
  <c r="T619" i="49"/>
  <c r="T627" i="49"/>
  <c r="N619" i="49"/>
  <c r="M619" i="49"/>
  <c r="O619" i="49"/>
  <c r="J619" i="49"/>
  <c r="L619" i="49"/>
  <c r="L627" i="49"/>
  <c r="I619" i="49"/>
  <c r="G619" i="49"/>
  <c r="X618" i="49"/>
  <c r="X627" i="49"/>
  <c r="N618" i="49"/>
  <c r="N627" i="49"/>
  <c r="L618" i="49"/>
  <c r="G618" i="49"/>
  <c r="W615" i="49"/>
  <c r="V615" i="49"/>
  <c r="T615" i="49"/>
  <c r="K615" i="49"/>
  <c r="H615" i="49"/>
  <c r="U614" i="49"/>
  <c r="U615" i="49"/>
  <c r="T614" i="49"/>
  <c r="X614" i="49"/>
  <c r="N614" i="49"/>
  <c r="L614" i="49"/>
  <c r="J614" i="49"/>
  <c r="J615" i="49"/>
  <c r="G614" i="49"/>
  <c r="X613" i="49"/>
  <c r="X615" i="49"/>
  <c r="O613" i="49"/>
  <c r="N613" i="49"/>
  <c r="N615" i="49"/>
  <c r="M613" i="49"/>
  <c r="L613" i="49"/>
  <c r="L615" i="49"/>
  <c r="I613" i="49"/>
  <c r="W610" i="49"/>
  <c r="V610" i="49"/>
  <c r="U610" i="49"/>
  <c r="T610" i="49"/>
  <c r="N610" i="49"/>
  <c r="K610" i="49"/>
  <c r="J610" i="49"/>
  <c r="H610" i="49"/>
  <c r="X609" i="49"/>
  <c r="N609" i="49"/>
  <c r="M609" i="49"/>
  <c r="O609" i="49"/>
  <c r="L609" i="49"/>
  <c r="I609" i="49"/>
  <c r="I610" i="49"/>
  <c r="G609" i="49"/>
  <c r="G610" i="49"/>
  <c r="X608" i="49"/>
  <c r="X610" i="49"/>
  <c r="O608" i="49"/>
  <c r="O610" i="49"/>
  <c r="N608" i="49"/>
  <c r="M608" i="49"/>
  <c r="L608" i="49"/>
  <c r="L610" i="49"/>
  <c r="I608" i="49"/>
  <c r="W605" i="49"/>
  <c r="V605" i="49"/>
  <c r="K605" i="49"/>
  <c r="H605" i="49"/>
  <c r="U604" i="49"/>
  <c r="T604" i="49"/>
  <c r="X604" i="49"/>
  <c r="N604" i="49"/>
  <c r="J604" i="49"/>
  <c r="L604" i="49"/>
  <c r="G604" i="49"/>
  <c r="M604" i="49"/>
  <c r="O604" i="49"/>
  <c r="X603" i="49"/>
  <c r="P603" i="49"/>
  <c r="N603" i="49"/>
  <c r="L603" i="49"/>
  <c r="J603" i="49"/>
  <c r="I603" i="49"/>
  <c r="G603" i="49"/>
  <c r="M603" i="49"/>
  <c r="O603" i="49"/>
  <c r="X602" i="49"/>
  <c r="U602" i="49"/>
  <c r="T602" i="49"/>
  <c r="N602" i="49"/>
  <c r="L602" i="49"/>
  <c r="J602" i="49"/>
  <c r="I602" i="49"/>
  <c r="G602" i="49"/>
  <c r="M602" i="49"/>
  <c r="O602" i="49"/>
  <c r="X601" i="49"/>
  <c r="N601" i="49"/>
  <c r="L601" i="49"/>
  <c r="J601" i="49"/>
  <c r="M601" i="49"/>
  <c r="I601" i="49"/>
  <c r="X600" i="49"/>
  <c r="U600" i="49"/>
  <c r="T600" i="49"/>
  <c r="O600" i="49"/>
  <c r="N600" i="49"/>
  <c r="M600" i="49"/>
  <c r="J600" i="49"/>
  <c r="L600" i="49"/>
  <c r="I600" i="49"/>
  <c r="G600" i="49"/>
  <c r="X599" i="49"/>
  <c r="O599" i="49"/>
  <c r="N599" i="49"/>
  <c r="M599" i="49"/>
  <c r="L599" i="49"/>
  <c r="I599" i="49"/>
  <c r="X598" i="49"/>
  <c r="N598" i="49"/>
  <c r="M598" i="49"/>
  <c r="O598" i="49"/>
  <c r="J598" i="49"/>
  <c r="L598" i="49"/>
  <c r="I598" i="49"/>
  <c r="X597" i="49"/>
  <c r="U597" i="49"/>
  <c r="T597" i="49"/>
  <c r="N597" i="49"/>
  <c r="L597" i="49"/>
  <c r="J597" i="49"/>
  <c r="I597" i="49"/>
  <c r="G597" i="49"/>
  <c r="M597" i="49"/>
  <c r="U596" i="49"/>
  <c r="T596" i="49"/>
  <c r="X596" i="49"/>
  <c r="N596" i="49"/>
  <c r="L596" i="49"/>
  <c r="J596" i="49"/>
  <c r="M596" i="49"/>
  <c r="O596" i="49"/>
  <c r="G596" i="49"/>
  <c r="I596" i="49"/>
  <c r="X595" i="49"/>
  <c r="U595" i="49"/>
  <c r="T595" i="49"/>
  <c r="N595" i="49"/>
  <c r="M595" i="49"/>
  <c r="O595" i="49"/>
  <c r="J595" i="49"/>
  <c r="L595" i="49"/>
  <c r="I595" i="49"/>
  <c r="G595" i="49"/>
  <c r="X594" i="49"/>
  <c r="U594" i="49"/>
  <c r="T594" i="49"/>
  <c r="N594" i="49"/>
  <c r="L594" i="49"/>
  <c r="G594" i="49"/>
  <c r="M594" i="49"/>
  <c r="O594" i="49"/>
  <c r="X593" i="49"/>
  <c r="P593" i="49"/>
  <c r="P605" i="49"/>
  <c r="O593" i="49"/>
  <c r="N593" i="49"/>
  <c r="M593" i="49"/>
  <c r="L593" i="49"/>
  <c r="J593" i="49"/>
  <c r="I593" i="49"/>
  <c r="U592" i="49"/>
  <c r="T592" i="49"/>
  <c r="X592" i="49"/>
  <c r="N592" i="49"/>
  <c r="M592" i="49"/>
  <c r="O592" i="49"/>
  <c r="J592" i="49"/>
  <c r="L592" i="49"/>
  <c r="G592" i="49"/>
  <c r="I592" i="49"/>
  <c r="X591" i="49"/>
  <c r="U591" i="49"/>
  <c r="T591" i="49"/>
  <c r="O591" i="49"/>
  <c r="N591" i="49"/>
  <c r="M591" i="49"/>
  <c r="L591" i="49"/>
  <c r="I591" i="49"/>
  <c r="G591" i="49"/>
  <c r="U590" i="49"/>
  <c r="T590" i="49"/>
  <c r="X590" i="49"/>
  <c r="N590" i="49"/>
  <c r="M590" i="49"/>
  <c r="O590" i="49"/>
  <c r="L590" i="49"/>
  <c r="I590" i="49"/>
  <c r="G590" i="49"/>
  <c r="X589" i="49"/>
  <c r="U589" i="49"/>
  <c r="U605" i="49"/>
  <c r="T589" i="49"/>
  <c r="N589" i="49"/>
  <c r="L589" i="49"/>
  <c r="J589" i="49"/>
  <c r="J605" i="49"/>
  <c r="G589" i="49"/>
  <c r="G605" i="49"/>
  <c r="X588" i="49"/>
  <c r="O588" i="49"/>
  <c r="N588" i="49"/>
  <c r="M588" i="49"/>
  <c r="L588" i="49"/>
  <c r="I588" i="49"/>
  <c r="X587" i="49"/>
  <c r="O587" i="49"/>
  <c r="N587" i="49"/>
  <c r="M587" i="49"/>
  <c r="L587" i="49"/>
  <c r="I587" i="49"/>
  <c r="X586" i="49"/>
  <c r="N586" i="49"/>
  <c r="M586" i="49"/>
  <c r="L586" i="49"/>
  <c r="L605" i="49"/>
  <c r="I586" i="49"/>
  <c r="G586" i="49"/>
  <c r="W583" i="49"/>
  <c r="V583" i="49"/>
  <c r="T583" i="49"/>
  <c r="X582" i="49"/>
  <c r="P582" i="49"/>
  <c r="N582" i="49"/>
  <c r="L582" i="49"/>
  <c r="J582" i="49"/>
  <c r="M582" i="49"/>
  <c r="O582" i="49"/>
  <c r="I582" i="49"/>
  <c r="X581" i="49"/>
  <c r="O581" i="49"/>
  <c r="N581" i="49"/>
  <c r="M581" i="49"/>
  <c r="L581" i="49"/>
  <c r="I581" i="49"/>
  <c r="H581" i="49"/>
  <c r="X580" i="49"/>
  <c r="N580" i="49"/>
  <c r="M580" i="49"/>
  <c r="O580" i="49"/>
  <c r="L580" i="49"/>
  <c r="J580" i="49"/>
  <c r="I580" i="49"/>
  <c r="G580" i="49"/>
  <c r="X579" i="49"/>
  <c r="N579" i="49"/>
  <c r="M579" i="49"/>
  <c r="O579" i="49"/>
  <c r="J579" i="49"/>
  <c r="L579" i="49"/>
  <c r="I579" i="49"/>
  <c r="G579" i="49"/>
  <c r="X578" i="49"/>
  <c r="N578" i="49"/>
  <c r="M578" i="49"/>
  <c r="O578" i="49"/>
  <c r="J578" i="49"/>
  <c r="L578" i="49"/>
  <c r="I578" i="49"/>
  <c r="G578" i="49"/>
  <c r="X577" i="49"/>
  <c r="N577" i="49"/>
  <c r="M577" i="49"/>
  <c r="O577" i="49"/>
  <c r="K577" i="49"/>
  <c r="L577" i="49"/>
  <c r="I577" i="49"/>
  <c r="H577" i="49"/>
  <c r="X576" i="49"/>
  <c r="T576" i="49"/>
  <c r="N576" i="49"/>
  <c r="J576" i="49"/>
  <c r="L576" i="49"/>
  <c r="G576" i="49"/>
  <c r="X575" i="49"/>
  <c r="M575" i="49"/>
  <c r="K575" i="49"/>
  <c r="H575" i="49"/>
  <c r="N575" i="49"/>
  <c r="O575" i="49"/>
  <c r="U574" i="49"/>
  <c r="T574" i="49"/>
  <c r="X574" i="49"/>
  <c r="N574" i="49"/>
  <c r="M574" i="49"/>
  <c r="O574" i="49"/>
  <c r="J574" i="49"/>
  <c r="L574" i="49"/>
  <c r="G574" i="49"/>
  <c r="I574" i="49"/>
  <c r="X573" i="49"/>
  <c r="P573" i="49"/>
  <c r="N573" i="49"/>
  <c r="L573" i="49"/>
  <c r="J573" i="49"/>
  <c r="G573" i="49"/>
  <c r="I573" i="49"/>
  <c r="X572" i="49"/>
  <c r="N572" i="49"/>
  <c r="O572" i="49"/>
  <c r="M572" i="49"/>
  <c r="L572" i="49"/>
  <c r="I572" i="49"/>
  <c r="T571" i="49"/>
  <c r="X571" i="49"/>
  <c r="N571" i="49"/>
  <c r="M571" i="49"/>
  <c r="O571" i="49"/>
  <c r="J571" i="49"/>
  <c r="L571" i="49"/>
  <c r="G571" i="49"/>
  <c r="I571" i="49"/>
  <c r="X570" i="49"/>
  <c r="P570" i="49"/>
  <c r="N570" i="49"/>
  <c r="L570" i="49"/>
  <c r="J570" i="49"/>
  <c r="G570" i="49"/>
  <c r="I570" i="49"/>
  <c r="X569" i="49"/>
  <c r="N569" i="49"/>
  <c r="L569" i="49"/>
  <c r="J569" i="49"/>
  <c r="G569" i="49"/>
  <c r="I569" i="49"/>
  <c r="X568" i="49"/>
  <c r="N568" i="49"/>
  <c r="L568" i="49"/>
  <c r="J568" i="49"/>
  <c r="G568" i="49"/>
  <c r="I568" i="49"/>
  <c r="X567" i="49"/>
  <c r="N567" i="49"/>
  <c r="L567" i="49"/>
  <c r="J567" i="49"/>
  <c r="M567" i="49"/>
  <c r="I567" i="49"/>
  <c r="X566" i="49"/>
  <c r="N566" i="49"/>
  <c r="M566" i="49"/>
  <c r="O566" i="49"/>
  <c r="J566" i="49"/>
  <c r="L566" i="49"/>
  <c r="I566" i="49"/>
  <c r="X565" i="49"/>
  <c r="U565" i="49"/>
  <c r="T565" i="49"/>
  <c r="N565" i="49"/>
  <c r="L565" i="49"/>
  <c r="J565" i="49"/>
  <c r="G565" i="49"/>
  <c r="I565" i="49"/>
  <c r="U564" i="49"/>
  <c r="T564" i="49"/>
  <c r="X564" i="49"/>
  <c r="N564" i="49"/>
  <c r="M564" i="49"/>
  <c r="O564" i="49"/>
  <c r="L564" i="49"/>
  <c r="J564" i="49"/>
  <c r="I564" i="49"/>
  <c r="G564" i="49"/>
  <c r="X563" i="49"/>
  <c r="N563" i="49"/>
  <c r="M563" i="49"/>
  <c r="O563" i="49"/>
  <c r="L563" i="49"/>
  <c r="J563" i="49"/>
  <c r="I563" i="49"/>
  <c r="G563" i="49"/>
  <c r="X562" i="49"/>
  <c r="U562" i="49"/>
  <c r="T562" i="49"/>
  <c r="O562" i="49"/>
  <c r="N562" i="49"/>
  <c r="M562" i="49"/>
  <c r="L562" i="49"/>
  <c r="J562" i="49"/>
  <c r="I562" i="49"/>
  <c r="G562" i="49"/>
  <c r="X561" i="49"/>
  <c r="O561" i="49"/>
  <c r="N561" i="49"/>
  <c r="M561" i="49"/>
  <c r="L561" i="49"/>
  <c r="I561" i="49"/>
  <c r="X560" i="49"/>
  <c r="N560" i="49"/>
  <c r="M560" i="49"/>
  <c r="O560" i="49"/>
  <c r="L560" i="49"/>
  <c r="J560" i="49"/>
  <c r="I560" i="49"/>
  <c r="X559" i="49"/>
  <c r="P559" i="49"/>
  <c r="P583" i="49"/>
  <c r="N559" i="49"/>
  <c r="M559" i="49"/>
  <c r="O559" i="49"/>
  <c r="J559" i="49"/>
  <c r="L559" i="49"/>
  <c r="I559" i="49"/>
  <c r="G559" i="49"/>
  <c r="X558" i="49"/>
  <c r="U558" i="49"/>
  <c r="T558" i="49"/>
  <c r="O558" i="49"/>
  <c r="N558" i="49"/>
  <c r="M558" i="49"/>
  <c r="L558" i="49"/>
  <c r="J558" i="49"/>
  <c r="I558" i="49"/>
  <c r="G558" i="49"/>
  <c r="X557" i="49"/>
  <c r="U557" i="49"/>
  <c r="T557" i="49"/>
  <c r="N557" i="49"/>
  <c r="L557" i="49"/>
  <c r="J557" i="49"/>
  <c r="I557" i="49"/>
  <c r="G557" i="49"/>
  <c r="M557" i="49"/>
  <c r="O557" i="49"/>
  <c r="X556" i="49"/>
  <c r="U556" i="49"/>
  <c r="T556" i="49"/>
  <c r="N556" i="49"/>
  <c r="L556" i="49"/>
  <c r="J556" i="49"/>
  <c r="I556" i="49"/>
  <c r="G556" i="49"/>
  <c r="M556" i="49"/>
  <c r="U555" i="49"/>
  <c r="T555" i="49"/>
  <c r="X555" i="49"/>
  <c r="N555" i="49"/>
  <c r="M555" i="49"/>
  <c r="O555" i="49"/>
  <c r="L555" i="49"/>
  <c r="J555" i="49"/>
  <c r="I555" i="49"/>
  <c r="G555" i="49"/>
  <c r="X554" i="49"/>
  <c r="U554" i="49"/>
  <c r="T554" i="49"/>
  <c r="N554" i="49"/>
  <c r="L554" i="49"/>
  <c r="G554" i="49"/>
  <c r="X553" i="49"/>
  <c r="O553" i="49"/>
  <c r="N553" i="49"/>
  <c r="M553" i="49"/>
  <c r="L553" i="49"/>
  <c r="I553" i="49"/>
  <c r="X552" i="49"/>
  <c r="O552" i="49"/>
  <c r="N552" i="49"/>
  <c r="M552" i="49"/>
  <c r="L552" i="49"/>
  <c r="I552" i="49"/>
  <c r="X551" i="49"/>
  <c r="U551" i="49"/>
  <c r="T551" i="49"/>
  <c r="O551" i="49"/>
  <c r="N551" i="49"/>
  <c r="M551" i="49"/>
  <c r="L551" i="49"/>
  <c r="J551" i="49"/>
  <c r="I551" i="49"/>
  <c r="G551" i="49"/>
  <c r="X550" i="49"/>
  <c r="O550" i="49"/>
  <c r="N550" i="49"/>
  <c r="M550" i="49"/>
  <c r="L550" i="49"/>
  <c r="J550" i="49"/>
  <c r="I550" i="49"/>
  <c r="G550" i="49"/>
  <c r="X549" i="49"/>
  <c r="U549" i="49"/>
  <c r="T549" i="49"/>
  <c r="O549" i="49"/>
  <c r="N549" i="49"/>
  <c r="M549" i="49"/>
  <c r="L549" i="49"/>
  <c r="I549" i="49"/>
  <c r="G549" i="49"/>
  <c r="X548" i="49"/>
  <c r="U548" i="49"/>
  <c r="T548" i="49"/>
  <c r="N548" i="49"/>
  <c r="L548" i="49"/>
  <c r="G548" i="49"/>
  <c r="U547" i="49"/>
  <c r="T547" i="49"/>
  <c r="X547" i="49"/>
  <c r="N547" i="49"/>
  <c r="J547" i="49"/>
  <c r="L547" i="49"/>
  <c r="G547" i="49"/>
  <c r="X546" i="49"/>
  <c r="U546" i="49"/>
  <c r="T546" i="49"/>
  <c r="N546" i="49"/>
  <c r="M546" i="49"/>
  <c r="O546" i="49"/>
  <c r="J546" i="49"/>
  <c r="J583" i="49"/>
  <c r="I546" i="49"/>
  <c r="G546" i="49"/>
  <c r="X545" i="49"/>
  <c r="N545" i="49"/>
  <c r="M545" i="49"/>
  <c r="L545" i="49"/>
  <c r="I545" i="49"/>
  <c r="G545" i="49"/>
  <c r="W542" i="49"/>
  <c r="V542" i="49"/>
  <c r="P542" i="49"/>
  <c r="K542" i="49"/>
  <c r="H542" i="49"/>
  <c r="X541" i="49"/>
  <c r="N541" i="49"/>
  <c r="O541" i="49"/>
  <c r="M541" i="49"/>
  <c r="L541" i="49"/>
  <c r="I541" i="49"/>
  <c r="X540" i="49"/>
  <c r="O540" i="49"/>
  <c r="N540" i="49"/>
  <c r="M540" i="49"/>
  <c r="L540" i="49"/>
  <c r="I540" i="49"/>
  <c r="X539" i="49"/>
  <c r="O539" i="49"/>
  <c r="N539" i="49"/>
  <c r="M539" i="49"/>
  <c r="J539" i="49"/>
  <c r="L539" i="49"/>
  <c r="I539" i="49"/>
  <c r="X538" i="49"/>
  <c r="N538" i="49"/>
  <c r="L538" i="49"/>
  <c r="J538" i="49"/>
  <c r="I538" i="49"/>
  <c r="G538" i="49"/>
  <c r="M538" i="49"/>
  <c r="O538" i="49"/>
  <c r="U537" i="49"/>
  <c r="T537" i="49"/>
  <c r="X537" i="49"/>
  <c r="N537" i="49"/>
  <c r="M537" i="49"/>
  <c r="O537" i="49"/>
  <c r="L537" i="49"/>
  <c r="J537" i="49"/>
  <c r="I537" i="49"/>
  <c r="G537" i="49"/>
  <c r="X536" i="49"/>
  <c r="N536" i="49"/>
  <c r="M536" i="49"/>
  <c r="O536" i="49"/>
  <c r="L536" i="49"/>
  <c r="J536" i="49"/>
  <c r="I536" i="49"/>
  <c r="G536" i="49"/>
  <c r="X535" i="49"/>
  <c r="N535" i="49"/>
  <c r="M535" i="49"/>
  <c r="O535" i="49"/>
  <c r="L535" i="49"/>
  <c r="J535" i="49"/>
  <c r="I535" i="49"/>
  <c r="G535" i="49"/>
  <c r="X534" i="49"/>
  <c r="U534" i="49"/>
  <c r="T534" i="49"/>
  <c r="N534" i="49"/>
  <c r="L534" i="49"/>
  <c r="G534" i="49"/>
  <c r="X533" i="49"/>
  <c r="O533" i="49"/>
  <c r="N533" i="49"/>
  <c r="M533" i="49"/>
  <c r="L533" i="49"/>
  <c r="I533" i="49"/>
  <c r="G533" i="49"/>
  <c r="X532" i="49"/>
  <c r="U532" i="49"/>
  <c r="T532" i="49"/>
  <c r="N532" i="49"/>
  <c r="M532" i="49"/>
  <c r="O532" i="49"/>
  <c r="L532" i="49"/>
  <c r="J532" i="49"/>
  <c r="I532" i="49"/>
  <c r="G532" i="49"/>
  <c r="X531" i="49"/>
  <c r="N531" i="49"/>
  <c r="M531" i="49"/>
  <c r="O531" i="49"/>
  <c r="L531" i="49"/>
  <c r="J531" i="49"/>
  <c r="I531" i="49"/>
  <c r="G531" i="49"/>
  <c r="X530" i="49"/>
  <c r="N530" i="49"/>
  <c r="M530" i="49"/>
  <c r="O530" i="49"/>
  <c r="L530" i="49"/>
  <c r="J530" i="49"/>
  <c r="I530" i="49"/>
  <c r="G530" i="49"/>
  <c r="X529" i="49"/>
  <c r="N529" i="49"/>
  <c r="M529" i="49"/>
  <c r="O529" i="49"/>
  <c r="L529" i="49"/>
  <c r="J529" i="49"/>
  <c r="I529" i="49"/>
  <c r="G529" i="49"/>
  <c r="X528" i="49"/>
  <c r="N528" i="49"/>
  <c r="M528" i="49"/>
  <c r="O528" i="49"/>
  <c r="L528" i="49"/>
  <c r="J528" i="49"/>
  <c r="I528" i="49"/>
  <c r="G528" i="49"/>
  <c r="X527" i="49"/>
  <c r="N527" i="49"/>
  <c r="M527" i="49"/>
  <c r="O527" i="49"/>
  <c r="L527" i="49"/>
  <c r="J527" i="49"/>
  <c r="I527" i="49"/>
  <c r="X526" i="49"/>
  <c r="N526" i="49"/>
  <c r="L526" i="49"/>
  <c r="J526" i="49"/>
  <c r="G526" i="49"/>
  <c r="X525" i="49"/>
  <c r="O525" i="49"/>
  <c r="N525" i="49"/>
  <c r="M525" i="49"/>
  <c r="L525" i="49"/>
  <c r="I525" i="49"/>
  <c r="X524" i="49"/>
  <c r="O524" i="49"/>
  <c r="N524" i="49"/>
  <c r="M524" i="49"/>
  <c r="J524" i="49"/>
  <c r="L524" i="49"/>
  <c r="I524" i="49"/>
  <c r="X523" i="49"/>
  <c r="N523" i="49"/>
  <c r="L523" i="49"/>
  <c r="J523" i="49"/>
  <c r="M523" i="49"/>
  <c r="O523" i="49"/>
  <c r="I523" i="49"/>
  <c r="X522" i="49"/>
  <c r="N522" i="49"/>
  <c r="M522" i="49"/>
  <c r="O522" i="49"/>
  <c r="J522" i="49"/>
  <c r="L522" i="49"/>
  <c r="I522" i="49"/>
  <c r="X521" i="49"/>
  <c r="O521" i="49"/>
  <c r="N521" i="49"/>
  <c r="M521" i="49"/>
  <c r="L521" i="49"/>
  <c r="J521" i="49"/>
  <c r="I521" i="49"/>
  <c r="X520" i="49"/>
  <c r="O520" i="49"/>
  <c r="N520" i="49"/>
  <c r="M520" i="49"/>
  <c r="L520" i="49"/>
  <c r="I520" i="49"/>
  <c r="X519" i="49"/>
  <c r="O519" i="49"/>
  <c r="N519" i="49"/>
  <c r="M519" i="49"/>
  <c r="L519" i="49"/>
  <c r="G519" i="49"/>
  <c r="I519" i="49"/>
  <c r="X518" i="49"/>
  <c r="N518" i="49"/>
  <c r="M518" i="49"/>
  <c r="O518" i="49"/>
  <c r="L518" i="49"/>
  <c r="I518" i="49"/>
  <c r="X517" i="49"/>
  <c r="N517" i="49"/>
  <c r="O517" i="49"/>
  <c r="M517" i="49"/>
  <c r="L517" i="49"/>
  <c r="I517" i="49"/>
  <c r="X516" i="49"/>
  <c r="O516" i="49"/>
  <c r="N516" i="49"/>
  <c r="M516" i="49"/>
  <c r="L516" i="49"/>
  <c r="I516" i="49"/>
  <c r="X515" i="49"/>
  <c r="U515" i="49"/>
  <c r="T515" i="49"/>
  <c r="N515" i="49"/>
  <c r="L515" i="49"/>
  <c r="J515" i="49"/>
  <c r="I515" i="49"/>
  <c r="G515" i="49"/>
  <c r="M515" i="49"/>
  <c r="O515" i="49"/>
  <c r="X514" i="49"/>
  <c r="U514" i="49"/>
  <c r="T514" i="49"/>
  <c r="N514" i="49"/>
  <c r="L514" i="49"/>
  <c r="J514" i="49"/>
  <c r="I514" i="49"/>
  <c r="G514" i="49"/>
  <c r="M514" i="49"/>
  <c r="X513" i="49"/>
  <c r="N513" i="49"/>
  <c r="O513" i="49"/>
  <c r="M513" i="49"/>
  <c r="L513" i="49"/>
  <c r="I513" i="49"/>
  <c r="X512" i="49"/>
  <c r="O512" i="49"/>
  <c r="N512" i="49"/>
  <c r="M512" i="49"/>
  <c r="L512" i="49"/>
  <c r="I512" i="49"/>
  <c r="X511" i="49"/>
  <c r="U511" i="49"/>
  <c r="T511" i="49"/>
  <c r="N511" i="49"/>
  <c r="L511" i="49"/>
  <c r="G511" i="49"/>
  <c r="X510" i="49"/>
  <c r="N510" i="49"/>
  <c r="J510" i="49"/>
  <c r="I510" i="49"/>
  <c r="X509" i="49"/>
  <c r="N509" i="49"/>
  <c r="M509" i="49"/>
  <c r="O509" i="49"/>
  <c r="L509" i="49"/>
  <c r="I509" i="49"/>
  <c r="X508" i="49"/>
  <c r="N508" i="49"/>
  <c r="M508" i="49"/>
  <c r="L508" i="49"/>
  <c r="I508" i="49"/>
  <c r="G508" i="49"/>
  <c r="U507" i="49"/>
  <c r="U542" i="49"/>
  <c r="T507" i="49"/>
  <c r="X507" i="49"/>
  <c r="O507" i="49"/>
  <c r="N507" i="49"/>
  <c r="M507" i="49"/>
  <c r="L507" i="49"/>
  <c r="I507" i="49"/>
  <c r="G507" i="49"/>
  <c r="X506" i="49"/>
  <c r="N506" i="49"/>
  <c r="M506" i="49"/>
  <c r="O506" i="49"/>
  <c r="L506" i="49"/>
  <c r="I506" i="49"/>
  <c r="G506" i="49"/>
  <c r="X505" i="49"/>
  <c r="N505" i="49"/>
  <c r="M505" i="49"/>
  <c r="L505" i="49"/>
  <c r="I505" i="49"/>
  <c r="G505" i="49"/>
  <c r="V502" i="49"/>
  <c r="K502" i="49"/>
  <c r="H502" i="49"/>
  <c r="X501" i="49"/>
  <c r="N501" i="49"/>
  <c r="M501" i="49"/>
  <c r="O501" i="49"/>
  <c r="L501" i="49"/>
  <c r="I501" i="49"/>
  <c r="G501" i="49"/>
  <c r="X500" i="49"/>
  <c r="O500" i="49"/>
  <c r="N500" i="49"/>
  <c r="M500" i="49"/>
  <c r="L500" i="49"/>
  <c r="I500" i="49"/>
  <c r="X499" i="49"/>
  <c r="O499" i="49"/>
  <c r="N499" i="49"/>
  <c r="M499" i="49"/>
  <c r="L499" i="49"/>
  <c r="I499" i="49"/>
  <c r="X498" i="49"/>
  <c r="P498" i="49"/>
  <c r="O498" i="49"/>
  <c r="N498" i="49"/>
  <c r="M498" i="49"/>
  <c r="L498" i="49"/>
  <c r="J498" i="49"/>
  <c r="I498" i="49"/>
  <c r="X497" i="49"/>
  <c r="P497" i="49"/>
  <c r="N497" i="49"/>
  <c r="L497" i="49"/>
  <c r="J497" i="49"/>
  <c r="G497" i="49"/>
  <c r="X496" i="49"/>
  <c r="P496" i="49"/>
  <c r="N496" i="49"/>
  <c r="O496" i="49"/>
  <c r="M496" i="49"/>
  <c r="J496" i="49"/>
  <c r="L496" i="49"/>
  <c r="I496" i="49"/>
  <c r="X495" i="49"/>
  <c r="O495" i="49"/>
  <c r="N495" i="49"/>
  <c r="M495" i="49"/>
  <c r="L495" i="49"/>
  <c r="J495" i="49"/>
  <c r="I495" i="49"/>
  <c r="X494" i="49"/>
  <c r="N494" i="49"/>
  <c r="L494" i="49"/>
  <c r="J494" i="49"/>
  <c r="M494" i="49"/>
  <c r="G494" i="49"/>
  <c r="I494" i="49"/>
  <c r="X493" i="49"/>
  <c r="N493" i="49"/>
  <c r="L493" i="49"/>
  <c r="J493" i="49"/>
  <c r="M493" i="49"/>
  <c r="G493" i="49"/>
  <c r="I493" i="49"/>
  <c r="X492" i="49"/>
  <c r="N492" i="49"/>
  <c r="J492" i="49"/>
  <c r="M492" i="49"/>
  <c r="G492" i="49"/>
  <c r="I492" i="49"/>
  <c r="X491" i="49"/>
  <c r="N491" i="49"/>
  <c r="J491" i="49"/>
  <c r="M491" i="49"/>
  <c r="O491" i="49"/>
  <c r="G491" i="49"/>
  <c r="I491" i="49"/>
  <c r="X490" i="49"/>
  <c r="P490" i="49"/>
  <c r="N490" i="49"/>
  <c r="L490" i="49"/>
  <c r="J490" i="49"/>
  <c r="G490" i="49"/>
  <c r="U489" i="49"/>
  <c r="T489" i="49"/>
  <c r="X489" i="49"/>
  <c r="N489" i="49"/>
  <c r="J489" i="49"/>
  <c r="L489" i="49"/>
  <c r="G489" i="49"/>
  <c r="X488" i="49"/>
  <c r="N488" i="49"/>
  <c r="J488" i="49"/>
  <c r="L488" i="49"/>
  <c r="G488" i="49"/>
  <c r="X487" i="49"/>
  <c r="N487" i="49"/>
  <c r="O487" i="49"/>
  <c r="M487" i="49"/>
  <c r="L487" i="49"/>
  <c r="I487" i="49"/>
  <c r="U486" i="49"/>
  <c r="T486" i="49"/>
  <c r="X486" i="49"/>
  <c r="N486" i="49"/>
  <c r="J486" i="49"/>
  <c r="L486" i="49"/>
  <c r="G486" i="49"/>
  <c r="X485" i="49"/>
  <c r="V485" i="49"/>
  <c r="P485" i="49"/>
  <c r="N485" i="49"/>
  <c r="J485" i="49"/>
  <c r="L485" i="49"/>
  <c r="G485" i="49"/>
  <c r="I485" i="49"/>
  <c r="X484" i="49"/>
  <c r="N484" i="49"/>
  <c r="J484" i="49"/>
  <c r="L484" i="49"/>
  <c r="G484" i="49"/>
  <c r="I484" i="49"/>
  <c r="X483" i="49"/>
  <c r="W483" i="49"/>
  <c r="W502" i="49"/>
  <c r="U483" i="49"/>
  <c r="T483" i="49"/>
  <c r="N483" i="49"/>
  <c r="J483" i="49"/>
  <c r="G483" i="49"/>
  <c r="I483" i="49"/>
  <c r="X482" i="49"/>
  <c r="N482" i="49"/>
  <c r="M482" i="49"/>
  <c r="O482" i="49"/>
  <c r="L482" i="49"/>
  <c r="I482" i="49"/>
  <c r="U481" i="49"/>
  <c r="T481" i="49"/>
  <c r="X481" i="49"/>
  <c r="N481" i="49"/>
  <c r="J481" i="49"/>
  <c r="G481" i="49"/>
  <c r="I481" i="49"/>
  <c r="X480" i="49"/>
  <c r="N480" i="49"/>
  <c r="J480" i="49"/>
  <c r="M480" i="49"/>
  <c r="O480" i="49"/>
  <c r="I480" i="49"/>
  <c r="N479" i="49"/>
  <c r="J479" i="49"/>
  <c r="L479" i="49"/>
  <c r="I479" i="49"/>
  <c r="G479" i="49"/>
  <c r="X478" i="49"/>
  <c r="V478" i="49"/>
  <c r="U478" i="49"/>
  <c r="T478" i="49"/>
  <c r="N478" i="49"/>
  <c r="M478" i="49"/>
  <c r="O478" i="49"/>
  <c r="L478" i="49"/>
  <c r="J478" i="49"/>
  <c r="G478" i="49"/>
  <c r="I478" i="49"/>
  <c r="U477" i="49"/>
  <c r="T477" i="49"/>
  <c r="X477" i="49"/>
  <c r="N477" i="49"/>
  <c r="J477" i="49"/>
  <c r="L477" i="49"/>
  <c r="G477" i="49"/>
  <c r="X476" i="49"/>
  <c r="N476" i="49"/>
  <c r="J476" i="49"/>
  <c r="I476" i="49"/>
  <c r="X475" i="49"/>
  <c r="U475" i="49"/>
  <c r="T475" i="49"/>
  <c r="N475" i="49"/>
  <c r="L475" i="49"/>
  <c r="J475" i="49"/>
  <c r="G475" i="49"/>
  <c r="M475" i="49"/>
  <c r="O475" i="49"/>
  <c r="X474" i="49"/>
  <c r="U474" i="49"/>
  <c r="T474" i="49"/>
  <c r="N474" i="49"/>
  <c r="L474" i="49"/>
  <c r="J474" i="49"/>
  <c r="G474" i="49"/>
  <c r="M474" i="49"/>
  <c r="X473" i="49"/>
  <c r="N473" i="49"/>
  <c r="J473" i="49"/>
  <c r="L473" i="49"/>
  <c r="I473" i="49"/>
  <c r="G473" i="49"/>
  <c r="X472" i="49"/>
  <c r="N472" i="49"/>
  <c r="L472" i="49"/>
  <c r="I472" i="49"/>
  <c r="G472" i="49"/>
  <c r="M472" i="49"/>
  <c r="X471" i="49"/>
  <c r="N471" i="49"/>
  <c r="J471" i="49"/>
  <c r="L471" i="49"/>
  <c r="I471" i="49"/>
  <c r="X470" i="49"/>
  <c r="N470" i="49"/>
  <c r="L470" i="49"/>
  <c r="J470" i="49"/>
  <c r="M470" i="49"/>
  <c r="O470" i="49"/>
  <c r="I470" i="49"/>
  <c r="X469" i="49"/>
  <c r="N469" i="49"/>
  <c r="J469" i="49"/>
  <c r="L469" i="49"/>
  <c r="G469" i="49"/>
  <c r="X468" i="49"/>
  <c r="N468" i="49"/>
  <c r="J468" i="49"/>
  <c r="L468" i="49"/>
  <c r="G468" i="49"/>
  <c r="X467" i="49"/>
  <c r="O467" i="49"/>
  <c r="N467" i="49"/>
  <c r="M467" i="49"/>
  <c r="L467" i="49"/>
  <c r="I467" i="49"/>
  <c r="U466" i="49"/>
  <c r="T466" i="49"/>
  <c r="X466" i="49"/>
  <c r="N466" i="49"/>
  <c r="J466" i="49"/>
  <c r="L466" i="49"/>
  <c r="G466" i="49"/>
  <c r="X465" i="49"/>
  <c r="N465" i="49"/>
  <c r="M465" i="49"/>
  <c r="O465" i="49"/>
  <c r="L465" i="49"/>
  <c r="I465" i="49"/>
  <c r="U464" i="49"/>
  <c r="T464" i="49"/>
  <c r="X464" i="49"/>
  <c r="N464" i="49"/>
  <c r="M464" i="49"/>
  <c r="O464" i="49"/>
  <c r="L464" i="49"/>
  <c r="I464" i="49"/>
  <c r="G464" i="49"/>
  <c r="X463" i="49"/>
  <c r="O463" i="49"/>
  <c r="N463" i="49"/>
  <c r="M463" i="49"/>
  <c r="L463" i="49"/>
  <c r="I463" i="49"/>
  <c r="G463" i="49"/>
  <c r="X462" i="49"/>
  <c r="N462" i="49"/>
  <c r="O462" i="49"/>
  <c r="M462" i="49"/>
  <c r="L462" i="49"/>
  <c r="I462" i="49"/>
  <c r="X461" i="49"/>
  <c r="P461" i="49"/>
  <c r="N461" i="49"/>
  <c r="J461" i="49"/>
  <c r="L461" i="49"/>
  <c r="G461" i="49"/>
  <c r="X460" i="49"/>
  <c r="N460" i="49"/>
  <c r="J460" i="49"/>
  <c r="L460" i="49"/>
  <c r="G460" i="49"/>
  <c r="X459" i="49"/>
  <c r="N459" i="49"/>
  <c r="J459" i="49"/>
  <c r="L459" i="49"/>
  <c r="G459" i="49"/>
  <c r="U458" i="49"/>
  <c r="T458" i="49"/>
  <c r="T502" i="49"/>
  <c r="P458" i="49"/>
  <c r="P502" i="49"/>
  <c r="N458" i="49"/>
  <c r="L458" i="49"/>
  <c r="J458" i="49"/>
  <c r="G458" i="49"/>
  <c r="M458" i="49"/>
  <c r="O458" i="49"/>
  <c r="X457" i="49"/>
  <c r="N457" i="49"/>
  <c r="M457" i="49"/>
  <c r="O457" i="49"/>
  <c r="L457" i="49"/>
  <c r="I457" i="49"/>
  <c r="X456" i="49"/>
  <c r="N456" i="49"/>
  <c r="J456" i="49"/>
  <c r="I456" i="49"/>
  <c r="G456" i="49"/>
  <c r="W453" i="49"/>
  <c r="V453" i="49"/>
  <c r="K453" i="49"/>
  <c r="H453" i="49"/>
  <c r="G453" i="49"/>
  <c r="U452" i="49"/>
  <c r="T452" i="49"/>
  <c r="X452" i="49"/>
  <c r="N452" i="49"/>
  <c r="J452" i="49"/>
  <c r="I452" i="49"/>
  <c r="G452" i="49"/>
  <c r="X451" i="49"/>
  <c r="N451" i="49"/>
  <c r="J451" i="49"/>
  <c r="I451" i="49"/>
  <c r="U450" i="49"/>
  <c r="U453" i="49"/>
  <c r="T450" i="49"/>
  <c r="T453" i="49"/>
  <c r="N450" i="49"/>
  <c r="L450" i="49"/>
  <c r="J450" i="49"/>
  <c r="G450" i="49"/>
  <c r="M450" i="49"/>
  <c r="O450" i="49"/>
  <c r="X449" i="49"/>
  <c r="N449" i="49"/>
  <c r="M449" i="49"/>
  <c r="O449" i="49"/>
  <c r="L449" i="49"/>
  <c r="J449" i="49"/>
  <c r="I449" i="49"/>
  <c r="X448" i="49"/>
  <c r="N448" i="49"/>
  <c r="J448" i="49"/>
  <c r="I448" i="49"/>
  <c r="X447" i="49"/>
  <c r="N447" i="49"/>
  <c r="J447" i="49"/>
  <c r="M447" i="49"/>
  <c r="O447" i="49"/>
  <c r="I447" i="49"/>
  <c r="X446" i="49"/>
  <c r="N446" i="49"/>
  <c r="M446" i="49"/>
  <c r="O446" i="49"/>
  <c r="L446" i="49"/>
  <c r="I446" i="49"/>
  <c r="X445" i="49"/>
  <c r="O445" i="49"/>
  <c r="N445" i="49"/>
  <c r="M445" i="49"/>
  <c r="L445" i="49"/>
  <c r="I445" i="49"/>
  <c r="X444" i="49"/>
  <c r="N444" i="49"/>
  <c r="M444" i="49"/>
  <c r="O444" i="49"/>
  <c r="L444" i="49"/>
  <c r="G444" i="49"/>
  <c r="I444" i="49"/>
  <c r="X443" i="49"/>
  <c r="N443" i="49"/>
  <c r="M443" i="49"/>
  <c r="O443" i="49"/>
  <c r="L443" i="49"/>
  <c r="I443" i="49"/>
  <c r="X442" i="49"/>
  <c r="P442" i="49"/>
  <c r="O442" i="49"/>
  <c r="N442" i="49"/>
  <c r="M442" i="49"/>
  <c r="L442" i="49"/>
  <c r="I442" i="49"/>
  <c r="G442" i="49"/>
  <c r="X441" i="49"/>
  <c r="N441" i="49"/>
  <c r="L441" i="49"/>
  <c r="G441" i="49"/>
  <c r="X440" i="49"/>
  <c r="N440" i="49"/>
  <c r="M440" i="49"/>
  <c r="O440" i="49"/>
  <c r="L440" i="49"/>
  <c r="G440" i="49"/>
  <c r="I440" i="49"/>
  <c r="X439" i="49"/>
  <c r="P439" i="49"/>
  <c r="N439" i="49"/>
  <c r="J439" i="49"/>
  <c r="L439" i="49"/>
  <c r="G439" i="49"/>
  <c r="X438" i="49"/>
  <c r="P438" i="49"/>
  <c r="N438" i="49"/>
  <c r="J438" i="49"/>
  <c r="L438" i="49"/>
  <c r="I438" i="49"/>
  <c r="G438" i="49"/>
  <c r="M438" i="49"/>
  <c r="O438" i="49"/>
  <c r="X437" i="49"/>
  <c r="P437" i="49"/>
  <c r="N437" i="49"/>
  <c r="J437" i="49"/>
  <c r="I437" i="49"/>
  <c r="G437" i="49"/>
  <c r="X436" i="49"/>
  <c r="P436" i="49"/>
  <c r="N436" i="49"/>
  <c r="M436" i="49"/>
  <c r="O436" i="49"/>
  <c r="L436" i="49"/>
  <c r="I436" i="49"/>
  <c r="G436" i="49"/>
  <c r="X435" i="49"/>
  <c r="O435" i="49"/>
  <c r="N435" i="49"/>
  <c r="M435" i="49"/>
  <c r="L435" i="49"/>
  <c r="I435" i="49"/>
  <c r="G435" i="49"/>
  <c r="X434" i="49"/>
  <c r="N434" i="49"/>
  <c r="J434" i="49"/>
  <c r="L434" i="49"/>
  <c r="I434" i="49"/>
  <c r="G434" i="49"/>
  <c r="M434" i="49"/>
  <c r="O434" i="49"/>
  <c r="X433" i="49"/>
  <c r="N433" i="49"/>
  <c r="J433" i="49"/>
  <c r="L433" i="49"/>
  <c r="I433" i="49"/>
  <c r="G433" i="49"/>
  <c r="M433" i="49"/>
  <c r="O433" i="49"/>
  <c r="X432" i="49"/>
  <c r="P432" i="49"/>
  <c r="O432" i="49"/>
  <c r="N432" i="49"/>
  <c r="M432" i="49"/>
  <c r="L432" i="49"/>
  <c r="I432" i="49"/>
  <c r="X431" i="49"/>
  <c r="P431" i="49"/>
  <c r="N431" i="49"/>
  <c r="O431" i="49"/>
  <c r="M431" i="49"/>
  <c r="L431" i="49"/>
  <c r="I431" i="49"/>
  <c r="X430" i="49"/>
  <c r="N430" i="49"/>
  <c r="M430" i="49"/>
  <c r="O430" i="49"/>
  <c r="L430" i="49"/>
  <c r="G430" i="49"/>
  <c r="I430" i="49"/>
  <c r="X429" i="49"/>
  <c r="N429" i="49"/>
  <c r="J429" i="49"/>
  <c r="L429" i="49"/>
  <c r="G429" i="49"/>
  <c r="I429" i="49"/>
  <c r="X428" i="49"/>
  <c r="O428" i="49"/>
  <c r="N428" i="49"/>
  <c r="L428" i="49"/>
  <c r="I428" i="49"/>
  <c r="G428" i="49"/>
  <c r="M428" i="49"/>
  <c r="X427" i="49"/>
  <c r="P427" i="49"/>
  <c r="P453" i="49"/>
  <c r="O427" i="49"/>
  <c r="N427" i="49"/>
  <c r="M427" i="49"/>
  <c r="L427" i="49"/>
  <c r="I427" i="49"/>
  <c r="X426" i="49"/>
  <c r="N426" i="49"/>
  <c r="N453" i="49"/>
  <c r="M426" i="49"/>
  <c r="L426" i="49"/>
  <c r="I426" i="49"/>
  <c r="W423" i="49"/>
  <c r="V423" i="49"/>
  <c r="P423" i="49"/>
  <c r="K423" i="49"/>
  <c r="H423" i="49"/>
  <c r="X422" i="49"/>
  <c r="N422" i="49"/>
  <c r="J422" i="49"/>
  <c r="L422" i="49"/>
  <c r="I422" i="49"/>
  <c r="G422" i="49"/>
  <c r="M422" i="49"/>
  <c r="O422" i="49"/>
  <c r="X421" i="49"/>
  <c r="N421" i="49"/>
  <c r="J421" i="49"/>
  <c r="L421" i="49"/>
  <c r="I421" i="49"/>
  <c r="G421" i="49"/>
  <c r="M421" i="49"/>
  <c r="O421" i="49"/>
  <c r="U420" i="49"/>
  <c r="T420" i="49"/>
  <c r="X420" i="49"/>
  <c r="N420" i="49"/>
  <c r="M420" i="49"/>
  <c r="O420" i="49"/>
  <c r="L420" i="49"/>
  <c r="J420" i="49"/>
  <c r="G420" i="49"/>
  <c r="I420" i="49"/>
  <c r="X419" i="49"/>
  <c r="N419" i="49"/>
  <c r="M419" i="49"/>
  <c r="O419" i="49"/>
  <c r="L419" i="49"/>
  <c r="J419" i="49"/>
  <c r="G419" i="49"/>
  <c r="I419" i="49"/>
  <c r="X418" i="49"/>
  <c r="N418" i="49"/>
  <c r="M418" i="49"/>
  <c r="O418" i="49"/>
  <c r="L418" i="49"/>
  <c r="J418" i="49"/>
  <c r="G418" i="49"/>
  <c r="I418" i="49"/>
  <c r="X417" i="49"/>
  <c r="N417" i="49"/>
  <c r="M417" i="49"/>
  <c r="O417" i="49"/>
  <c r="L417" i="49"/>
  <c r="J417" i="49"/>
  <c r="G417" i="49"/>
  <c r="I417" i="49"/>
  <c r="X416" i="49"/>
  <c r="N416" i="49"/>
  <c r="M416" i="49"/>
  <c r="O416" i="49"/>
  <c r="L416" i="49"/>
  <c r="J416" i="49"/>
  <c r="G416" i="49"/>
  <c r="I416" i="49"/>
  <c r="X415" i="49"/>
  <c r="T415" i="49"/>
  <c r="N415" i="49"/>
  <c r="M415" i="49"/>
  <c r="O415" i="49"/>
  <c r="L415" i="49"/>
  <c r="J415" i="49"/>
  <c r="G415" i="49"/>
  <c r="I415" i="49"/>
  <c r="X414" i="49"/>
  <c r="N414" i="49"/>
  <c r="M414" i="49"/>
  <c r="O414" i="49"/>
  <c r="L414" i="49"/>
  <c r="J414" i="49"/>
  <c r="I414" i="49"/>
  <c r="X413" i="49"/>
  <c r="U413" i="49"/>
  <c r="T413" i="49"/>
  <c r="N413" i="49"/>
  <c r="J413" i="49"/>
  <c r="M413" i="49"/>
  <c r="O413" i="49"/>
  <c r="I413" i="49"/>
  <c r="G413" i="49"/>
  <c r="X412" i="49"/>
  <c r="N412" i="49"/>
  <c r="O412" i="49"/>
  <c r="M412" i="49"/>
  <c r="L412" i="49"/>
  <c r="I412" i="49"/>
  <c r="X411" i="49"/>
  <c r="U411" i="49"/>
  <c r="T411" i="49"/>
  <c r="N411" i="49"/>
  <c r="J411" i="49"/>
  <c r="M411" i="49"/>
  <c r="I411" i="49"/>
  <c r="G411" i="49"/>
  <c r="U410" i="49"/>
  <c r="T410" i="49"/>
  <c r="X410" i="49"/>
  <c r="N410" i="49"/>
  <c r="L410" i="49"/>
  <c r="J410" i="49"/>
  <c r="G410" i="49"/>
  <c r="M410" i="49"/>
  <c r="O410" i="49"/>
  <c r="X409" i="49"/>
  <c r="U409" i="49"/>
  <c r="T409" i="49"/>
  <c r="N409" i="49"/>
  <c r="J409" i="49"/>
  <c r="L409" i="49"/>
  <c r="I409" i="49"/>
  <c r="G409" i="49"/>
  <c r="M409" i="49"/>
  <c r="O409" i="49"/>
  <c r="U408" i="49"/>
  <c r="T408" i="49"/>
  <c r="T423" i="49"/>
  <c r="N408" i="49"/>
  <c r="M408" i="49"/>
  <c r="O408" i="49"/>
  <c r="L408" i="49"/>
  <c r="J408" i="49"/>
  <c r="J423" i="49"/>
  <c r="G408" i="49"/>
  <c r="I408" i="49"/>
  <c r="X407" i="49"/>
  <c r="U407" i="49"/>
  <c r="U423" i="49"/>
  <c r="T407" i="49"/>
  <c r="N407" i="49"/>
  <c r="N423" i="49"/>
  <c r="L407" i="49"/>
  <c r="G407" i="49"/>
  <c r="I407" i="49"/>
  <c r="W404" i="49"/>
  <c r="V404" i="49"/>
  <c r="K404" i="49"/>
  <c r="J404" i="49"/>
  <c r="X403" i="49"/>
  <c r="N403" i="49"/>
  <c r="M403" i="49"/>
  <c r="O403" i="49"/>
  <c r="L403" i="49"/>
  <c r="I403" i="49"/>
  <c r="N402" i="49"/>
  <c r="M402" i="49"/>
  <c r="O402" i="49"/>
  <c r="L402" i="49"/>
  <c r="I402" i="49"/>
  <c r="X401" i="49"/>
  <c r="O401" i="49"/>
  <c r="N401" i="49"/>
  <c r="M401" i="49"/>
  <c r="L401" i="49"/>
  <c r="I401" i="49"/>
  <c r="H401" i="49"/>
  <c r="X400" i="49"/>
  <c r="M400" i="49"/>
  <c r="O400" i="49"/>
  <c r="L400" i="49"/>
  <c r="J400" i="49"/>
  <c r="G400" i="49"/>
  <c r="I400" i="49"/>
  <c r="X399" i="49"/>
  <c r="P399" i="49"/>
  <c r="N399" i="49"/>
  <c r="J399" i="49"/>
  <c r="M399" i="49"/>
  <c r="O399" i="49"/>
  <c r="I399" i="49"/>
  <c r="G399" i="49"/>
  <c r="U398" i="49"/>
  <c r="T398" i="49"/>
  <c r="X398" i="49"/>
  <c r="N398" i="49"/>
  <c r="L398" i="49"/>
  <c r="J398" i="49"/>
  <c r="G398" i="49"/>
  <c r="X397" i="49"/>
  <c r="M397" i="49"/>
  <c r="L397" i="49"/>
  <c r="K397" i="49"/>
  <c r="H397" i="49"/>
  <c r="X396" i="49"/>
  <c r="P396" i="49"/>
  <c r="N396" i="49"/>
  <c r="J396" i="49"/>
  <c r="L396" i="49"/>
  <c r="G396" i="49"/>
  <c r="I396" i="49"/>
  <c r="U395" i="49"/>
  <c r="T395" i="49"/>
  <c r="X395" i="49"/>
  <c r="P395" i="49"/>
  <c r="N395" i="49"/>
  <c r="L395" i="49"/>
  <c r="J395" i="49"/>
  <c r="G395" i="49"/>
  <c r="I395" i="49"/>
  <c r="X394" i="49"/>
  <c r="N394" i="49"/>
  <c r="M394" i="49"/>
  <c r="O394" i="49"/>
  <c r="L394" i="49"/>
  <c r="J394" i="49"/>
  <c r="G394" i="49"/>
  <c r="I394" i="49"/>
  <c r="X393" i="49"/>
  <c r="P393" i="49"/>
  <c r="N393" i="49"/>
  <c r="L393" i="49"/>
  <c r="J393" i="49"/>
  <c r="I393" i="49"/>
  <c r="G393" i="49"/>
  <c r="M393" i="49"/>
  <c r="O393" i="49"/>
  <c r="U392" i="49"/>
  <c r="T392" i="49"/>
  <c r="X392" i="49"/>
  <c r="N392" i="49"/>
  <c r="L392" i="49"/>
  <c r="I392" i="49"/>
  <c r="G392" i="49"/>
  <c r="M392" i="49"/>
  <c r="O392" i="49"/>
  <c r="X391" i="49"/>
  <c r="N391" i="49"/>
  <c r="J391" i="49"/>
  <c r="I391" i="49"/>
  <c r="G391" i="49"/>
  <c r="U390" i="49"/>
  <c r="U404" i="49"/>
  <c r="T390" i="49"/>
  <c r="X390" i="49"/>
  <c r="N390" i="49"/>
  <c r="M390" i="49"/>
  <c r="O390" i="49"/>
  <c r="L390" i="49"/>
  <c r="J390" i="49"/>
  <c r="G390" i="49"/>
  <c r="I390" i="49"/>
  <c r="X389" i="49"/>
  <c r="N389" i="49"/>
  <c r="M389" i="49"/>
  <c r="O389" i="49"/>
  <c r="L389" i="49"/>
  <c r="J389" i="49"/>
  <c r="I389" i="49"/>
  <c r="X388" i="49"/>
  <c r="P388" i="49"/>
  <c r="N388" i="49"/>
  <c r="M388" i="49"/>
  <c r="O388" i="49"/>
  <c r="L388" i="49"/>
  <c r="J388" i="49"/>
  <c r="G388" i="49"/>
  <c r="I388" i="49"/>
  <c r="X387" i="49"/>
  <c r="U387" i="49"/>
  <c r="T387" i="49"/>
  <c r="N387" i="49"/>
  <c r="O387" i="49"/>
  <c r="L387" i="49"/>
  <c r="G387" i="49"/>
  <c r="M387" i="49"/>
  <c r="U386" i="49"/>
  <c r="T386" i="49"/>
  <c r="X386" i="49"/>
  <c r="P386" i="49"/>
  <c r="M386" i="49"/>
  <c r="L386" i="49"/>
  <c r="J386" i="49"/>
  <c r="H386" i="49"/>
  <c r="G386" i="49"/>
  <c r="I386" i="49"/>
  <c r="X385" i="49"/>
  <c r="N385" i="49"/>
  <c r="M385" i="49"/>
  <c r="O385" i="49"/>
  <c r="L385" i="49"/>
  <c r="I385" i="49"/>
  <c r="X384" i="49"/>
  <c r="T384" i="49"/>
  <c r="N384" i="49"/>
  <c r="M384" i="49"/>
  <c r="O384" i="49"/>
  <c r="L384" i="49"/>
  <c r="I384" i="49"/>
  <c r="X383" i="49"/>
  <c r="O383" i="49"/>
  <c r="N383" i="49"/>
  <c r="M383" i="49"/>
  <c r="L383" i="49"/>
  <c r="I383" i="49"/>
  <c r="X382" i="49"/>
  <c r="P382" i="49"/>
  <c r="N382" i="49"/>
  <c r="M382" i="49"/>
  <c r="O382" i="49"/>
  <c r="J382" i="49"/>
  <c r="L382" i="49"/>
  <c r="G382" i="49"/>
  <c r="I382" i="49"/>
  <c r="X381" i="49"/>
  <c r="N381" i="49"/>
  <c r="M381" i="49"/>
  <c r="O381" i="49"/>
  <c r="L381" i="49"/>
  <c r="I381" i="49"/>
  <c r="O380" i="49"/>
  <c r="N380" i="49"/>
  <c r="M380" i="49"/>
  <c r="L380" i="49"/>
  <c r="I380" i="49"/>
  <c r="X379" i="49"/>
  <c r="N379" i="49"/>
  <c r="M379" i="49"/>
  <c r="O379" i="49"/>
  <c r="L379" i="49"/>
  <c r="I379" i="49"/>
  <c r="G379" i="49"/>
  <c r="X378" i="49"/>
  <c r="P378" i="49"/>
  <c r="N378" i="49"/>
  <c r="M378" i="49"/>
  <c r="O378" i="49"/>
  <c r="L378" i="49"/>
  <c r="I378" i="49"/>
  <c r="X377" i="49"/>
  <c r="P377" i="49"/>
  <c r="N377" i="49"/>
  <c r="L377" i="49"/>
  <c r="I377" i="49"/>
  <c r="G377" i="49"/>
  <c r="M377" i="49"/>
  <c r="O377" i="49"/>
  <c r="X376" i="49"/>
  <c r="P376" i="49"/>
  <c r="O376" i="49"/>
  <c r="N376" i="49"/>
  <c r="J376" i="49"/>
  <c r="M376" i="49"/>
  <c r="I376" i="49"/>
  <c r="G376" i="49"/>
  <c r="X375" i="49"/>
  <c r="N375" i="49"/>
  <c r="L375" i="49"/>
  <c r="J375" i="49"/>
  <c r="M375" i="49"/>
  <c r="O375" i="49"/>
  <c r="I375" i="49"/>
  <c r="X374" i="49"/>
  <c r="O374" i="49"/>
  <c r="N374" i="49"/>
  <c r="L374" i="49"/>
  <c r="G374" i="49"/>
  <c r="M374" i="49"/>
  <c r="U373" i="49"/>
  <c r="T373" i="49"/>
  <c r="X373" i="49"/>
  <c r="P373" i="49"/>
  <c r="N373" i="49"/>
  <c r="L373" i="49"/>
  <c r="J373" i="49"/>
  <c r="G373" i="49"/>
  <c r="I373" i="49"/>
  <c r="X372" i="49"/>
  <c r="N372" i="49"/>
  <c r="M372" i="49"/>
  <c r="O372" i="49"/>
  <c r="L372" i="49"/>
  <c r="I372" i="49"/>
  <c r="X371" i="49"/>
  <c r="P371" i="49"/>
  <c r="N371" i="49"/>
  <c r="L371" i="49"/>
  <c r="I371" i="49"/>
  <c r="G371" i="49"/>
  <c r="M371" i="49"/>
  <c r="O371" i="49"/>
  <c r="X370" i="49"/>
  <c r="N370" i="49"/>
  <c r="O370" i="49"/>
  <c r="M370" i="49"/>
  <c r="L370" i="49"/>
  <c r="I370" i="49"/>
  <c r="X369" i="49"/>
  <c r="N369" i="49"/>
  <c r="M369" i="49"/>
  <c r="O369" i="49"/>
  <c r="L369" i="49"/>
  <c r="I369" i="49"/>
  <c r="X368" i="49"/>
  <c r="N368" i="49"/>
  <c r="O368" i="49"/>
  <c r="M368" i="49"/>
  <c r="L368" i="49"/>
  <c r="I368" i="49"/>
  <c r="X367" i="49"/>
  <c r="U367" i="49"/>
  <c r="T367" i="49"/>
  <c r="T404" i="49"/>
  <c r="N367" i="49"/>
  <c r="L367" i="49"/>
  <c r="I367" i="49"/>
  <c r="G367" i="49"/>
  <c r="M367" i="49"/>
  <c r="O367" i="49"/>
  <c r="X366" i="49"/>
  <c r="N366" i="49"/>
  <c r="L366" i="49"/>
  <c r="J366" i="49"/>
  <c r="G366" i="49"/>
  <c r="X365" i="49"/>
  <c r="N365" i="49"/>
  <c r="M365" i="49"/>
  <c r="O365" i="49"/>
  <c r="L365" i="49"/>
  <c r="I365" i="49"/>
  <c r="X364" i="49"/>
  <c r="O364" i="49"/>
  <c r="N364" i="49"/>
  <c r="M364" i="49"/>
  <c r="L364" i="49"/>
  <c r="I364" i="49"/>
  <c r="X363" i="49"/>
  <c r="N363" i="49"/>
  <c r="M363" i="49"/>
  <c r="L363" i="49"/>
  <c r="I363" i="49"/>
  <c r="V360" i="49"/>
  <c r="X359" i="49"/>
  <c r="N359" i="49"/>
  <c r="O359" i="49"/>
  <c r="M359" i="49"/>
  <c r="L359" i="49"/>
  <c r="I359" i="49"/>
  <c r="X358" i="49"/>
  <c r="N358" i="49"/>
  <c r="M358" i="49"/>
  <c r="O358" i="49"/>
  <c r="L358" i="49"/>
  <c r="I358" i="49"/>
  <c r="X357" i="49"/>
  <c r="N357" i="49"/>
  <c r="O357" i="49"/>
  <c r="M357" i="49"/>
  <c r="L357" i="49"/>
  <c r="I357" i="49"/>
  <c r="X356" i="49"/>
  <c r="N356" i="49"/>
  <c r="M356" i="49"/>
  <c r="O356" i="49"/>
  <c r="L356" i="49"/>
  <c r="I356" i="49"/>
  <c r="X355" i="49"/>
  <c r="O355" i="49"/>
  <c r="N355" i="49"/>
  <c r="M355" i="49"/>
  <c r="L355" i="49"/>
  <c r="I355" i="49"/>
  <c r="X354" i="49"/>
  <c r="N354" i="49"/>
  <c r="M354" i="49"/>
  <c r="O354" i="49"/>
  <c r="L354" i="49"/>
  <c r="I354" i="49"/>
  <c r="X353" i="49"/>
  <c r="N353" i="49"/>
  <c r="J353" i="49"/>
  <c r="L353" i="49"/>
  <c r="I353" i="49"/>
  <c r="G353" i="49"/>
  <c r="M353" i="49"/>
  <c r="O353" i="49"/>
  <c r="X352" i="49"/>
  <c r="N352" i="49"/>
  <c r="O352" i="49"/>
  <c r="M352" i="49"/>
  <c r="L352" i="49"/>
  <c r="I352" i="49"/>
  <c r="X351" i="49"/>
  <c r="N351" i="49"/>
  <c r="L351" i="49"/>
  <c r="J351" i="49"/>
  <c r="G351" i="49"/>
  <c r="I351" i="49"/>
  <c r="X350" i="49"/>
  <c r="N350" i="49"/>
  <c r="M350" i="49"/>
  <c r="O350" i="49"/>
  <c r="L350" i="49"/>
  <c r="J350" i="49"/>
  <c r="G350" i="49"/>
  <c r="I350" i="49"/>
  <c r="X349" i="49"/>
  <c r="N349" i="49"/>
  <c r="L349" i="49"/>
  <c r="J349" i="49"/>
  <c r="G349" i="49"/>
  <c r="X348" i="49"/>
  <c r="N348" i="49"/>
  <c r="M348" i="49"/>
  <c r="O348" i="49"/>
  <c r="L348" i="49"/>
  <c r="J348" i="49"/>
  <c r="G348" i="49"/>
  <c r="I348" i="49"/>
  <c r="X347" i="49"/>
  <c r="N347" i="49"/>
  <c r="M347" i="49"/>
  <c r="O347" i="49"/>
  <c r="L347" i="49"/>
  <c r="G347" i="49"/>
  <c r="I347" i="49"/>
  <c r="X346" i="49"/>
  <c r="P346" i="49"/>
  <c r="N346" i="49"/>
  <c r="M346" i="49"/>
  <c r="O346" i="49"/>
  <c r="L346" i="49"/>
  <c r="J346" i="49"/>
  <c r="I346" i="49"/>
  <c r="X345" i="49"/>
  <c r="U345" i="49"/>
  <c r="T345" i="49"/>
  <c r="N345" i="49"/>
  <c r="M345" i="49"/>
  <c r="O345" i="49"/>
  <c r="L345" i="49"/>
  <c r="J345" i="49"/>
  <c r="G345" i="49"/>
  <c r="I345" i="49"/>
  <c r="X344" i="49"/>
  <c r="P344" i="49"/>
  <c r="N344" i="49"/>
  <c r="J344" i="49"/>
  <c r="L344" i="49"/>
  <c r="I344" i="49"/>
  <c r="G344" i="49"/>
  <c r="T343" i="49"/>
  <c r="X343" i="49"/>
  <c r="N343" i="49"/>
  <c r="J343" i="49"/>
  <c r="L343" i="49"/>
  <c r="I343" i="49"/>
  <c r="G343" i="49"/>
  <c r="X342" i="49"/>
  <c r="N342" i="49"/>
  <c r="J342" i="49"/>
  <c r="L342" i="49"/>
  <c r="I342" i="49"/>
  <c r="G342" i="49"/>
  <c r="M342" i="49"/>
  <c r="O342" i="49"/>
  <c r="X341" i="49"/>
  <c r="N341" i="49"/>
  <c r="L341" i="49"/>
  <c r="J341" i="49"/>
  <c r="M341" i="49"/>
  <c r="O341" i="49"/>
  <c r="I341" i="49"/>
  <c r="N340" i="49"/>
  <c r="M340" i="49"/>
  <c r="O340" i="49"/>
  <c r="J340" i="49"/>
  <c r="L340" i="49"/>
  <c r="G340" i="49"/>
  <c r="I340" i="49"/>
  <c r="X339" i="49"/>
  <c r="N339" i="49"/>
  <c r="M339" i="49"/>
  <c r="O339" i="49"/>
  <c r="J339" i="49"/>
  <c r="L339" i="49"/>
  <c r="I339" i="49"/>
  <c r="X338" i="49"/>
  <c r="N338" i="49"/>
  <c r="M338" i="49"/>
  <c r="O338" i="49"/>
  <c r="L338" i="49"/>
  <c r="J338" i="49"/>
  <c r="I338" i="49"/>
  <c r="X337" i="49"/>
  <c r="P337" i="49"/>
  <c r="N337" i="49"/>
  <c r="L337" i="49"/>
  <c r="J337" i="49"/>
  <c r="G337" i="49"/>
  <c r="I337" i="49"/>
  <c r="X336" i="49"/>
  <c r="M336" i="49"/>
  <c r="L336" i="49"/>
  <c r="K336" i="49"/>
  <c r="H336" i="49"/>
  <c r="X335" i="49"/>
  <c r="N335" i="49"/>
  <c r="L335" i="49"/>
  <c r="J335" i="49"/>
  <c r="G335" i="49"/>
  <c r="X334" i="49"/>
  <c r="P334" i="49"/>
  <c r="N334" i="49"/>
  <c r="L334" i="49"/>
  <c r="J334" i="49"/>
  <c r="I334" i="49"/>
  <c r="G334" i="49"/>
  <c r="M334" i="49"/>
  <c r="O334" i="49"/>
  <c r="U333" i="49"/>
  <c r="T333" i="49"/>
  <c r="X333" i="49"/>
  <c r="O333" i="49"/>
  <c r="N333" i="49"/>
  <c r="J333" i="49"/>
  <c r="M333" i="49"/>
  <c r="I333" i="49"/>
  <c r="G333" i="49"/>
  <c r="X332" i="49"/>
  <c r="U332" i="49"/>
  <c r="T332" i="49"/>
  <c r="N332" i="49"/>
  <c r="M332" i="49"/>
  <c r="L332" i="49"/>
  <c r="J332" i="49"/>
  <c r="I332" i="49"/>
  <c r="G332" i="49"/>
  <c r="X331" i="49"/>
  <c r="P331" i="49"/>
  <c r="N331" i="49"/>
  <c r="J331" i="49"/>
  <c r="I331" i="49"/>
  <c r="G331" i="49"/>
  <c r="X330" i="49"/>
  <c r="N330" i="49"/>
  <c r="J330" i="49"/>
  <c r="I330" i="49"/>
  <c r="G330" i="49"/>
  <c r="X329" i="49"/>
  <c r="O329" i="49"/>
  <c r="N329" i="49"/>
  <c r="L329" i="49"/>
  <c r="G329" i="49"/>
  <c r="M329" i="49"/>
  <c r="X328" i="49"/>
  <c r="M328" i="49"/>
  <c r="O328" i="49"/>
  <c r="L328" i="49"/>
  <c r="K328" i="49"/>
  <c r="H328" i="49"/>
  <c r="N328" i="49"/>
  <c r="X327" i="49"/>
  <c r="N327" i="49"/>
  <c r="M327" i="49"/>
  <c r="O327" i="49"/>
  <c r="L327" i="49"/>
  <c r="K327" i="49"/>
  <c r="I327" i="49"/>
  <c r="H327" i="49"/>
  <c r="X326" i="49"/>
  <c r="N326" i="49"/>
  <c r="M326" i="49"/>
  <c r="L326" i="49"/>
  <c r="K326" i="49"/>
  <c r="I326" i="49"/>
  <c r="H326" i="49"/>
  <c r="X325" i="49"/>
  <c r="M325" i="49"/>
  <c r="L325" i="49"/>
  <c r="K325" i="49"/>
  <c r="H325" i="49"/>
  <c r="N325" i="49"/>
  <c r="X324" i="49"/>
  <c r="M324" i="49"/>
  <c r="L324" i="49"/>
  <c r="K324" i="49"/>
  <c r="H324" i="49"/>
  <c r="X323" i="49"/>
  <c r="N323" i="49"/>
  <c r="M323" i="49"/>
  <c r="L323" i="49"/>
  <c r="I323" i="49"/>
  <c r="X322" i="49"/>
  <c r="P322" i="49"/>
  <c r="N322" i="49"/>
  <c r="M322" i="49"/>
  <c r="O322" i="49"/>
  <c r="L322" i="49"/>
  <c r="J322" i="49"/>
  <c r="G322" i="49"/>
  <c r="I322" i="49"/>
  <c r="X321" i="49"/>
  <c r="N321" i="49"/>
  <c r="J321" i="49"/>
  <c r="M321" i="49"/>
  <c r="O321" i="49"/>
  <c r="G321" i="49"/>
  <c r="I321" i="49"/>
  <c r="X320" i="49"/>
  <c r="P320" i="49"/>
  <c r="N320" i="49"/>
  <c r="M320" i="49"/>
  <c r="L320" i="49"/>
  <c r="J320" i="49"/>
  <c r="I320" i="49"/>
  <c r="G320" i="49"/>
  <c r="X319" i="49"/>
  <c r="N319" i="49"/>
  <c r="L319" i="49"/>
  <c r="J319" i="49"/>
  <c r="I319" i="49"/>
  <c r="G319" i="49"/>
  <c r="M319" i="49"/>
  <c r="O319" i="49"/>
  <c r="X318" i="49"/>
  <c r="N318" i="49"/>
  <c r="L318" i="49"/>
  <c r="J318" i="49"/>
  <c r="G318" i="49"/>
  <c r="X317" i="49"/>
  <c r="N317" i="49"/>
  <c r="M317" i="49"/>
  <c r="L317" i="49"/>
  <c r="I317" i="49"/>
  <c r="X316" i="49"/>
  <c r="P316" i="49"/>
  <c r="N316" i="49"/>
  <c r="M316" i="49"/>
  <c r="O316" i="49"/>
  <c r="L316" i="49"/>
  <c r="J316" i="49"/>
  <c r="G316" i="49"/>
  <c r="I316" i="49"/>
  <c r="X315" i="49"/>
  <c r="M315" i="49"/>
  <c r="K315" i="49"/>
  <c r="L315" i="49"/>
  <c r="H315" i="49"/>
  <c r="X314" i="49"/>
  <c r="N314" i="49"/>
  <c r="M314" i="49"/>
  <c r="O314" i="49"/>
  <c r="L314" i="49"/>
  <c r="J314" i="49"/>
  <c r="I314" i="49"/>
  <c r="X313" i="49"/>
  <c r="M313" i="49"/>
  <c r="K313" i="49"/>
  <c r="L313" i="49"/>
  <c r="I313" i="49"/>
  <c r="H313" i="49"/>
  <c r="X312" i="49"/>
  <c r="O312" i="49"/>
  <c r="M312" i="49"/>
  <c r="L312" i="49"/>
  <c r="K312" i="49"/>
  <c r="I312" i="49"/>
  <c r="H312" i="49"/>
  <c r="N312" i="49"/>
  <c r="X311" i="49"/>
  <c r="M311" i="49"/>
  <c r="L311" i="49"/>
  <c r="K311" i="49"/>
  <c r="I311" i="49"/>
  <c r="H311" i="49"/>
  <c r="N311" i="49"/>
  <c r="O311" i="49"/>
  <c r="X310" i="49"/>
  <c r="M310" i="49"/>
  <c r="L310" i="49"/>
  <c r="K310" i="49"/>
  <c r="I310" i="49"/>
  <c r="H310" i="49"/>
  <c r="X309" i="49"/>
  <c r="M309" i="49"/>
  <c r="K309" i="49"/>
  <c r="L309" i="49"/>
  <c r="I309" i="49"/>
  <c r="H309" i="49"/>
  <c r="M308" i="49"/>
  <c r="K308" i="49"/>
  <c r="L308" i="49"/>
  <c r="H308" i="49"/>
  <c r="X307" i="49"/>
  <c r="P307" i="49"/>
  <c r="K307" i="49"/>
  <c r="L307" i="49"/>
  <c r="J307" i="49"/>
  <c r="H307" i="49"/>
  <c r="G307" i="49"/>
  <c r="U306" i="49"/>
  <c r="T306" i="49"/>
  <c r="X306" i="49"/>
  <c r="N306" i="49"/>
  <c r="L306" i="49"/>
  <c r="J306" i="49"/>
  <c r="M306" i="49"/>
  <c r="O306" i="49"/>
  <c r="G306" i="49"/>
  <c r="I306" i="49"/>
  <c r="X305" i="49"/>
  <c r="P305" i="49"/>
  <c r="N305" i="49"/>
  <c r="M305" i="49"/>
  <c r="O305" i="49"/>
  <c r="L305" i="49"/>
  <c r="J305" i="49"/>
  <c r="G305" i="49"/>
  <c r="I305" i="49"/>
  <c r="X304" i="49"/>
  <c r="U304" i="49"/>
  <c r="T304" i="49"/>
  <c r="N304" i="49"/>
  <c r="L304" i="49"/>
  <c r="I304" i="49"/>
  <c r="G304" i="49"/>
  <c r="M304" i="49"/>
  <c r="O304" i="49"/>
  <c r="X303" i="49"/>
  <c r="T303" i="49"/>
  <c r="P303" i="49"/>
  <c r="N303" i="49"/>
  <c r="L303" i="49"/>
  <c r="J303" i="49"/>
  <c r="I303" i="49"/>
  <c r="G303" i="49"/>
  <c r="M303" i="49"/>
  <c r="O303" i="49"/>
  <c r="X302" i="49"/>
  <c r="N302" i="49"/>
  <c r="J302" i="49"/>
  <c r="M302" i="49"/>
  <c r="O302" i="49"/>
  <c r="I302" i="49"/>
  <c r="X301" i="49"/>
  <c r="O301" i="49"/>
  <c r="N301" i="49"/>
  <c r="M301" i="49"/>
  <c r="L301" i="49"/>
  <c r="I301" i="49"/>
  <c r="X300" i="49"/>
  <c r="U300" i="49"/>
  <c r="T300" i="49"/>
  <c r="O300" i="49"/>
  <c r="N300" i="49"/>
  <c r="L300" i="49"/>
  <c r="G300" i="49"/>
  <c r="M300" i="49"/>
  <c r="X299" i="49"/>
  <c r="U299" i="49"/>
  <c r="T299" i="49"/>
  <c r="N299" i="49"/>
  <c r="O299" i="49"/>
  <c r="L299" i="49"/>
  <c r="G299" i="49"/>
  <c r="M299" i="49"/>
  <c r="U298" i="49"/>
  <c r="T298" i="49"/>
  <c r="X298" i="49"/>
  <c r="N298" i="49"/>
  <c r="M298" i="49"/>
  <c r="O298" i="49"/>
  <c r="L298" i="49"/>
  <c r="G298" i="49"/>
  <c r="I298" i="49"/>
  <c r="X297" i="49"/>
  <c r="P297" i="49"/>
  <c r="N297" i="49"/>
  <c r="M297" i="49"/>
  <c r="L297" i="49"/>
  <c r="J297" i="49"/>
  <c r="G297" i="49"/>
  <c r="I297" i="49"/>
  <c r="U296" i="49"/>
  <c r="T296" i="49"/>
  <c r="X296" i="49"/>
  <c r="O296" i="49"/>
  <c r="N296" i="49"/>
  <c r="L296" i="49"/>
  <c r="I296" i="49"/>
  <c r="G296" i="49"/>
  <c r="M296" i="49"/>
  <c r="U295" i="49"/>
  <c r="T295" i="49"/>
  <c r="X295" i="49"/>
  <c r="N295" i="49"/>
  <c r="L295" i="49"/>
  <c r="J295" i="49"/>
  <c r="G295" i="49"/>
  <c r="X294" i="49"/>
  <c r="N294" i="49"/>
  <c r="M294" i="49"/>
  <c r="O294" i="49"/>
  <c r="L294" i="49"/>
  <c r="J294" i="49"/>
  <c r="I294" i="49"/>
  <c r="X293" i="49"/>
  <c r="P293" i="49"/>
  <c r="N293" i="49"/>
  <c r="L293" i="49"/>
  <c r="J293" i="49"/>
  <c r="G293" i="49"/>
  <c r="X292" i="49"/>
  <c r="P292" i="49"/>
  <c r="N292" i="49"/>
  <c r="L292" i="49"/>
  <c r="J292" i="49"/>
  <c r="I292" i="49"/>
  <c r="G292" i="49"/>
  <c r="M292" i="49"/>
  <c r="O292" i="49"/>
  <c r="U291" i="49"/>
  <c r="T291" i="49"/>
  <c r="X291" i="49"/>
  <c r="N291" i="49"/>
  <c r="L291" i="49"/>
  <c r="J291" i="49"/>
  <c r="M291" i="49"/>
  <c r="O291" i="49"/>
  <c r="I291" i="49"/>
  <c r="G291" i="49"/>
  <c r="X290" i="49"/>
  <c r="M290" i="49"/>
  <c r="L290" i="49"/>
  <c r="K290" i="49"/>
  <c r="N290" i="49"/>
  <c r="O290" i="49"/>
  <c r="I290" i="49"/>
  <c r="H290" i="49"/>
  <c r="X289" i="49"/>
  <c r="M289" i="49"/>
  <c r="K289" i="49"/>
  <c r="N289" i="49"/>
  <c r="O289" i="49"/>
  <c r="I289" i="49"/>
  <c r="H289" i="49"/>
  <c r="X288" i="49"/>
  <c r="M288" i="49"/>
  <c r="L288" i="49"/>
  <c r="K288" i="49"/>
  <c r="N288" i="49"/>
  <c r="O288" i="49"/>
  <c r="I288" i="49"/>
  <c r="H288" i="49"/>
  <c r="X287" i="49"/>
  <c r="M287" i="49"/>
  <c r="L287" i="49"/>
  <c r="K287" i="49"/>
  <c r="N287" i="49"/>
  <c r="O287" i="49"/>
  <c r="I287" i="49"/>
  <c r="H287" i="49"/>
  <c r="X286" i="49"/>
  <c r="U286" i="49"/>
  <c r="T286" i="49"/>
  <c r="N286" i="49"/>
  <c r="M286" i="49"/>
  <c r="O286" i="49"/>
  <c r="L286" i="49"/>
  <c r="G286" i="49"/>
  <c r="I286" i="49"/>
  <c r="X285" i="49"/>
  <c r="M285" i="49"/>
  <c r="L285" i="49"/>
  <c r="K285" i="49"/>
  <c r="H285" i="49"/>
  <c r="N285" i="49"/>
  <c r="X284" i="49"/>
  <c r="M284" i="49"/>
  <c r="O284" i="49"/>
  <c r="L284" i="49"/>
  <c r="K284" i="49"/>
  <c r="H284" i="49"/>
  <c r="N284" i="49"/>
  <c r="X283" i="49"/>
  <c r="U283" i="49"/>
  <c r="T283" i="49"/>
  <c r="P283" i="49"/>
  <c r="N283" i="49"/>
  <c r="J283" i="49"/>
  <c r="L283" i="49"/>
  <c r="I283" i="49"/>
  <c r="G283" i="49"/>
  <c r="M283" i="49"/>
  <c r="O283" i="49"/>
  <c r="X282" i="49"/>
  <c r="O282" i="49"/>
  <c r="M282" i="49"/>
  <c r="K282" i="49"/>
  <c r="L282" i="49"/>
  <c r="I282" i="49"/>
  <c r="H282" i="49"/>
  <c r="N282" i="49"/>
  <c r="X281" i="49"/>
  <c r="O281" i="49"/>
  <c r="M281" i="49"/>
  <c r="K281" i="49"/>
  <c r="L281" i="49"/>
  <c r="I281" i="49"/>
  <c r="H281" i="49"/>
  <c r="N281" i="49"/>
  <c r="X280" i="49"/>
  <c r="M280" i="49"/>
  <c r="K280" i="49"/>
  <c r="L280" i="49"/>
  <c r="I280" i="49"/>
  <c r="H280" i="49"/>
  <c r="N280" i="49"/>
  <c r="O280" i="49"/>
  <c r="X279" i="49"/>
  <c r="O279" i="49"/>
  <c r="N279" i="49"/>
  <c r="M279" i="49"/>
  <c r="L279" i="49"/>
  <c r="I279" i="49"/>
  <c r="X278" i="49"/>
  <c r="N278" i="49"/>
  <c r="M278" i="49"/>
  <c r="O278" i="49"/>
  <c r="L278" i="49"/>
  <c r="I278" i="49"/>
  <c r="X277" i="49"/>
  <c r="M277" i="49"/>
  <c r="L277" i="49"/>
  <c r="K277" i="49"/>
  <c r="N277" i="49"/>
  <c r="O277" i="49"/>
  <c r="I277" i="49"/>
  <c r="H277" i="49"/>
  <c r="X276" i="49"/>
  <c r="U276" i="49"/>
  <c r="T276" i="49"/>
  <c r="N276" i="49"/>
  <c r="M276" i="49"/>
  <c r="O276" i="49"/>
  <c r="L276" i="49"/>
  <c r="I276" i="49"/>
  <c r="X275" i="49"/>
  <c r="P275" i="49"/>
  <c r="M275" i="49"/>
  <c r="L275" i="49"/>
  <c r="K275" i="49"/>
  <c r="J275" i="49"/>
  <c r="H275" i="49"/>
  <c r="I275" i="49"/>
  <c r="X274" i="49"/>
  <c r="N274" i="49"/>
  <c r="M274" i="49"/>
  <c r="L274" i="49"/>
  <c r="K274" i="49"/>
  <c r="H274" i="49"/>
  <c r="I274" i="49"/>
  <c r="X273" i="49"/>
  <c r="P273" i="49"/>
  <c r="N273" i="49"/>
  <c r="O273" i="49"/>
  <c r="J273" i="49"/>
  <c r="L273" i="49"/>
  <c r="I273" i="49"/>
  <c r="G273" i="49"/>
  <c r="M273" i="49"/>
  <c r="X272" i="49"/>
  <c r="P272" i="49"/>
  <c r="K272" i="49"/>
  <c r="L272" i="49"/>
  <c r="J272" i="49"/>
  <c r="H272" i="49"/>
  <c r="N272" i="49"/>
  <c r="G272" i="49"/>
  <c r="X271" i="49"/>
  <c r="P271" i="49"/>
  <c r="N271" i="49"/>
  <c r="J271" i="49"/>
  <c r="I271" i="49"/>
  <c r="H271" i="49"/>
  <c r="X270" i="49"/>
  <c r="N270" i="49"/>
  <c r="O270" i="49"/>
  <c r="M270" i="49"/>
  <c r="L270" i="49"/>
  <c r="I270" i="49"/>
  <c r="X269" i="49"/>
  <c r="P269" i="49"/>
  <c r="N269" i="49"/>
  <c r="K269" i="49"/>
  <c r="J269" i="49"/>
  <c r="I269" i="49"/>
  <c r="H269" i="49"/>
  <c r="G269" i="49"/>
  <c r="X268" i="49"/>
  <c r="P268" i="49"/>
  <c r="M268" i="49"/>
  <c r="L268" i="49"/>
  <c r="K268" i="49"/>
  <c r="J268" i="49"/>
  <c r="H268" i="49"/>
  <c r="G268" i="49"/>
  <c r="T267" i="49"/>
  <c r="X267" i="49"/>
  <c r="P267" i="49"/>
  <c r="M267" i="49"/>
  <c r="L267" i="49"/>
  <c r="K267" i="49"/>
  <c r="J267" i="49"/>
  <c r="H267" i="49"/>
  <c r="G267" i="49"/>
  <c r="T266" i="49"/>
  <c r="X266" i="49"/>
  <c r="P266" i="49"/>
  <c r="N266" i="49"/>
  <c r="M266" i="49"/>
  <c r="O266" i="49"/>
  <c r="L266" i="49"/>
  <c r="K266" i="49"/>
  <c r="J266" i="49"/>
  <c r="G266" i="49"/>
  <c r="I266" i="49"/>
  <c r="X265" i="49"/>
  <c r="N265" i="49"/>
  <c r="M265" i="49"/>
  <c r="L265" i="49"/>
  <c r="I265" i="49"/>
  <c r="X264" i="49"/>
  <c r="P264" i="49"/>
  <c r="N264" i="49"/>
  <c r="M264" i="49"/>
  <c r="O264" i="49"/>
  <c r="L264" i="49"/>
  <c r="J264" i="49"/>
  <c r="G264" i="49"/>
  <c r="I264" i="49"/>
  <c r="X263" i="49"/>
  <c r="N263" i="49"/>
  <c r="M263" i="49"/>
  <c r="O263" i="49"/>
  <c r="L263" i="49"/>
  <c r="J263" i="49"/>
  <c r="I263" i="49"/>
  <c r="X262" i="49"/>
  <c r="O262" i="49"/>
  <c r="N262" i="49"/>
  <c r="J262" i="49"/>
  <c r="M262" i="49"/>
  <c r="I262" i="49"/>
  <c r="G262" i="49"/>
  <c r="X261" i="49"/>
  <c r="O261" i="49"/>
  <c r="N261" i="49"/>
  <c r="M261" i="49"/>
  <c r="L261" i="49"/>
  <c r="I261" i="49"/>
  <c r="G261" i="49"/>
  <c r="X260" i="49"/>
  <c r="N260" i="49"/>
  <c r="O260" i="49"/>
  <c r="M260" i="49"/>
  <c r="L260" i="49"/>
  <c r="I260" i="49"/>
  <c r="X259" i="49"/>
  <c r="N259" i="49"/>
  <c r="M259" i="49"/>
  <c r="O259" i="49"/>
  <c r="L259" i="49"/>
  <c r="I259" i="49"/>
  <c r="G259" i="49"/>
  <c r="X258" i="49"/>
  <c r="N258" i="49"/>
  <c r="J258" i="49"/>
  <c r="L258" i="49"/>
  <c r="I258" i="49"/>
  <c r="G258" i="49"/>
  <c r="X257" i="49"/>
  <c r="P257" i="49"/>
  <c r="N257" i="49"/>
  <c r="L257" i="49"/>
  <c r="J257" i="49"/>
  <c r="G257" i="49"/>
  <c r="X256" i="49"/>
  <c r="N256" i="49"/>
  <c r="L256" i="49"/>
  <c r="J256" i="49"/>
  <c r="G256" i="49"/>
  <c r="X255" i="49"/>
  <c r="P255" i="49"/>
  <c r="N255" i="49"/>
  <c r="M255" i="49"/>
  <c r="O255" i="49"/>
  <c r="L255" i="49"/>
  <c r="I255" i="49"/>
  <c r="X254" i="49"/>
  <c r="O254" i="49"/>
  <c r="N254" i="49"/>
  <c r="J254" i="49"/>
  <c r="L254" i="49"/>
  <c r="I254" i="49"/>
  <c r="G254" i="49"/>
  <c r="M254" i="49"/>
  <c r="X253" i="49"/>
  <c r="O253" i="49"/>
  <c r="N253" i="49"/>
  <c r="L253" i="49"/>
  <c r="I253" i="49"/>
  <c r="G253" i="49"/>
  <c r="M253" i="49"/>
  <c r="X252" i="49"/>
  <c r="P252" i="49"/>
  <c r="N252" i="49"/>
  <c r="J252" i="49"/>
  <c r="L252" i="49"/>
  <c r="I252" i="49"/>
  <c r="G252" i="49"/>
  <c r="X251" i="49"/>
  <c r="N251" i="49"/>
  <c r="J251" i="49"/>
  <c r="L251" i="49"/>
  <c r="I251" i="49"/>
  <c r="G251" i="49"/>
  <c r="X250" i="49"/>
  <c r="N250" i="49"/>
  <c r="J250" i="49"/>
  <c r="L250" i="49"/>
  <c r="I250" i="49"/>
  <c r="G250" i="49"/>
  <c r="X249" i="49"/>
  <c r="N249" i="49"/>
  <c r="L249" i="49"/>
  <c r="I249" i="49"/>
  <c r="G249" i="49"/>
  <c r="M249" i="49"/>
  <c r="O249" i="49"/>
  <c r="X248" i="49"/>
  <c r="N248" i="49"/>
  <c r="L248" i="49"/>
  <c r="G248" i="49"/>
  <c r="X247" i="49"/>
  <c r="N247" i="49"/>
  <c r="M247" i="49"/>
  <c r="O247" i="49"/>
  <c r="L247" i="49"/>
  <c r="I247" i="49"/>
  <c r="X246" i="49"/>
  <c r="O246" i="49"/>
  <c r="N246" i="49"/>
  <c r="M246" i="49"/>
  <c r="L246" i="49"/>
  <c r="I246" i="49"/>
  <c r="X245" i="49"/>
  <c r="N245" i="49"/>
  <c r="M245" i="49"/>
  <c r="O245" i="49"/>
  <c r="L245" i="49"/>
  <c r="I245" i="49"/>
  <c r="X244" i="49"/>
  <c r="N244" i="49"/>
  <c r="L244" i="49"/>
  <c r="I244" i="49"/>
  <c r="G244" i="49"/>
  <c r="M244" i="49"/>
  <c r="O244" i="49"/>
  <c r="U243" i="49"/>
  <c r="T243" i="49"/>
  <c r="X243" i="49"/>
  <c r="N243" i="49"/>
  <c r="M243" i="49"/>
  <c r="O243" i="49"/>
  <c r="L243" i="49"/>
  <c r="I243" i="49"/>
  <c r="G243" i="49"/>
  <c r="X242" i="49"/>
  <c r="N242" i="49"/>
  <c r="J242" i="49"/>
  <c r="I242" i="49"/>
  <c r="X241" i="49"/>
  <c r="N241" i="49"/>
  <c r="O241" i="49"/>
  <c r="M241" i="49"/>
  <c r="L241" i="49"/>
  <c r="I241" i="49"/>
  <c r="X240" i="49"/>
  <c r="N240" i="49"/>
  <c r="M240" i="49"/>
  <c r="O240" i="49"/>
  <c r="L240" i="49"/>
  <c r="J240" i="49"/>
  <c r="I240" i="49"/>
  <c r="X239" i="49"/>
  <c r="O239" i="49"/>
  <c r="N239" i="49"/>
  <c r="M239" i="49"/>
  <c r="L239" i="49"/>
  <c r="I239" i="49"/>
  <c r="X238" i="49"/>
  <c r="N238" i="49"/>
  <c r="M238" i="49"/>
  <c r="O238" i="49"/>
  <c r="L238" i="49"/>
  <c r="J238" i="49"/>
  <c r="I238" i="49"/>
  <c r="X237" i="49"/>
  <c r="N237" i="49"/>
  <c r="M237" i="49"/>
  <c r="O237" i="49"/>
  <c r="L237" i="49"/>
  <c r="I237" i="49"/>
  <c r="G237" i="49"/>
  <c r="X236" i="49"/>
  <c r="O236" i="49"/>
  <c r="N236" i="49"/>
  <c r="M236" i="49"/>
  <c r="L236" i="49"/>
  <c r="I236" i="49"/>
  <c r="X235" i="49"/>
  <c r="N235" i="49"/>
  <c r="M235" i="49"/>
  <c r="L235" i="49"/>
  <c r="J235" i="49"/>
  <c r="I235" i="49"/>
  <c r="X234" i="49"/>
  <c r="N234" i="49"/>
  <c r="M234" i="49"/>
  <c r="O234" i="49"/>
  <c r="L234" i="49"/>
  <c r="I234" i="49"/>
  <c r="X233" i="49"/>
  <c r="N233" i="49"/>
  <c r="O233" i="49"/>
  <c r="M233" i="49"/>
  <c r="L233" i="49"/>
  <c r="I233" i="49"/>
  <c r="X232" i="49"/>
  <c r="N232" i="49"/>
  <c r="M232" i="49"/>
  <c r="O232" i="49"/>
  <c r="L232" i="49"/>
  <c r="I232" i="49"/>
  <c r="G232" i="49"/>
  <c r="X231" i="49"/>
  <c r="O231" i="49"/>
  <c r="N231" i="49"/>
  <c r="M231" i="49"/>
  <c r="L231" i="49"/>
  <c r="I231" i="49"/>
  <c r="X230" i="49"/>
  <c r="N230" i="49"/>
  <c r="M230" i="49"/>
  <c r="O230" i="49"/>
  <c r="L230" i="49"/>
  <c r="I230" i="49"/>
  <c r="X229" i="49"/>
  <c r="N229" i="49"/>
  <c r="L229" i="49"/>
  <c r="J229" i="49"/>
  <c r="M229" i="49"/>
  <c r="O229" i="49"/>
  <c r="I229" i="49"/>
  <c r="X228" i="49"/>
  <c r="P228" i="49"/>
  <c r="O228" i="49"/>
  <c r="N228" i="49"/>
  <c r="J228" i="49"/>
  <c r="M228" i="49"/>
  <c r="I228" i="49"/>
  <c r="G228" i="49"/>
  <c r="X227" i="49"/>
  <c r="O227" i="49"/>
  <c r="N227" i="49"/>
  <c r="L227" i="49"/>
  <c r="J227" i="49"/>
  <c r="M227" i="49"/>
  <c r="I227" i="49"/>
  <c r="X226" i="49"/>
  <c r="N226" i="49"/>
  <c r="L226" i="49"/>
  <c r="G226" i="49"/>
  <c r="M226" i="49"/>
  <c r="O226" i="49"/>
  <c r="U225" i="49"/>
  <c r="T225" i="49"/>
  <c r="X225" i="49"/>
  <c r="O225" i="49"/>
  <c r="N225" i="49"/>
  <c r="M225" i="49"/>
  <c r="L225" i="49"/>
  <c r="I225" i="49"/>
  <c r="G225" i="49"/>
  <c r="X224" i="49"/>
  <c r="P224" i="49"/>
  <c r="N224" i="49"/>
  <c r="J224" i="49"/>
  <c r="I224" i="49"/>
  <c r="G224" i="49"/>
  <c r="X223" i="49"/>
  <c r="N223" i="49"/>
  <c r="J223" i="49"/>
  <c r="M223" i="49"/>
  <c r="O223" i="49"/>
  <c r="I223" i="49"/>
  <c r="G223" i="49"/>
  <c r="X222" i="49"/>
  <c r="P222" i="49"/>
  <c r="N222" i="49"/>
  <c r="M222" i="49"/>
  <c r="O222" i="49"/>
  <c r="L222" i="49"/>
  <c r="I222" i="49"/>
  <c r="X221" i="49"/>
  <c r="N221" i="49"/>
  <c r="J221" i="49"/>
  <c r="I221" i="49"/>
  <c r="G221" i="49"/>
  <c r="X220" i="49"/>
  <c r="N220" i="49"/>
  <c r="J220" i="49"/>
  <c r="I220" i="49"/>
  <c r="G220" i="49"/>
  <c r="X219" i="49"/>
  <c r="N219" i="49"/>
  <c r="J219" i="49"/>
  <c r="I219" i="49"/>
  <c r="G219" i="49"/>
  <c r="X218" i="49"/>
  <c r="N218" i="49"/>
  <c r="J218" i="49"/>
  <c r="I218" i="49"/>
  <c r="G218" i="49"/>
  <c r="X217" i="49"/>
  <c r="P217" i="49"/>
  <c r="N217" i="49"/>
  <c r="L217" i="49"/>
  <c r="J217" i="49"/>
  <c r="M217" i="49"/>
  <c r="O217" i="49"/>
  <c r="I217" i="49"/>
  <c r="G217" i="49"/>
  <c r="X216" i="49"/>
  <c r="N216" i="49"/>
  <c r="J216" i="49"/>
  <c r="I216" i="49"/>
  <c r="G216" i="49"/>
  <c r="X215" i="49"/>
  <c r="O215" i="49"/>
  <c r="N215" i="49"/>
  <c r="M215" i="49"/>
  <c r="L215" i="49"/>
  <c r="I215" i="49"/>
  <c r="X214" i="49"/>
  <c r="N214" i="49"/>
  <c r="M214" i="49"/>
  <c r="O214" i="49"/>
  <c r="L214" i="49"/>
  <c r="J214" i="49"/>
  <c r="I214" i="49"/>
  <c r="X213" i="49"/>
  <c r="T213" i="49"/>
  <c r="N213" i="49"/>
  <c r="M213" i="49"/>
  <c r="O213" i="49"/>
  <c r="L213" i="49"/>
  <c r="I213" i="49"/>
  <c r="X212" i="49"/>
  <c r="U212" i="49"/>
  <c r="T212" i="49"/>
  <c r="N212" i="49"/>
  <c r="L212" i="49"/>
  <c r="J212" i="49"/>
  <c r="G212" i="49"/>
  <c r="G360" i="49"/>
  <c r="X211" i="49"/>
  <c r="N211" i="49"/>
  <c r="M211" i="49"/>
  <c r="O211" i="49"/>
  <c r="L211" i="49"/>
  <c r="I211" i="49"/>
  <c r="X210" i="49"/>
  <c r="W210" i="49"/>
  <c r="W360" i="49"/>
  <c r="N210" i="49"/>
  <c r="M210" i="49"/>
  <c r="L210" i="49"/>
  <c r="I210" i="49"/>
  <c r="W207" i="49"/>
  <c r="V207" i="49"/>
  <c r="X206" i="49"/>
  <c r="P206" i="49"/>
  <c r="N206" i="49"/>
  <c r="O206" i="49"/>
  <c r="M206" i="49"/>
  <c r="L206" i="49"/>
  <c r="I206" i="49"/>
  <c r="X205" i="49"/>
  <c r="P205" i="49"/>
  <c r="N205" i="49"/>
  <c r="M205" i="49"/>
  <c r="L205" i="49"/>
  <c r="J205" i="49"/>
  <c r="G205" i="49"/>
  <c r="I205" i="49"/>
  <c r="X204" i="49"/>
  <c r="P204" i="49"/>
  <c r="N204" i="49"/>
  <c r="O204" i="49"/>
  <c r="J204" i="49"/>
  <c r="L204" i="49"/>
  <c r="I204" i="49"/>
  <c r="G204" i="49"/>
  <c r="M204" i="49"/>
  <c r="X203" i="49"/>
  <c r="P203" i="49"/>
  <c r="N203" i="49"/>
  <c r="J203" i="49"/>
  <c r="L203" i="49"/>
  <c r="I203" i="49"/>
  <c r="G203" i="49"/>
  <c r="X202" i="49"/>
  <c r="P202" i="49"/>
  <c r="N202" i="49"/>
  <c r="M202" i="49"/>
  <c r="O202" i="49"/>
  <c r="L202" i="49"/>
  <c r="J202" i="49"/>
  <c r="I202" i="49"/>
  <c r="X201" i="49"/>
  <c r="O201" i="49"/>
  <c r="N201" i="49"/>
  <c r="M201" i="49"/>
  <c r="L201" i="49"/>
  <c r="I201" i="49"/>
  <c r="X200" i="49"/>
  <c r="P200" i="49"/>
  <c r="O200" i="49"/>
  <c r="N200" i="49"/>
  <c r="J200" i="49"/>
  <c r="M200" i="49"/>
  <c r="I200" i="49"/>
  <c r="U199" i="49"/>
  <c r="T199" i="49"/>
  <c r="X199" i="49"/>
  <c r="N199" i="49"/>
  <c r="J199" i="49"/>
  <c r="L199" i="49"/>
  <c r="I199" i="49"/>
  <c r="G199" i="49"/>
  <c r="X198" i="49"/>
  <c r="K198" i="49"/>
  <c r="L198" i="49"/>
  <c r="I198" i="49"/>
  <c r="H198" i="49"/>
  <c r="N198" i="49"/>
  <c r="O198" i="49"/>
  <c r="X197" i="49"/>
  <c r="L197" i="49"/>
  <c r="K197" i="49"/>
  <c r="H197" i="49"/>
  <c r="I197" i="49"/>
  <c r="X196" i="49"/>
  <c r="M196" i="49"/>
  <c r="L196" i="49"/>
  <c r="K196" i="49"/>
  <c r="H196" i="49"/>
  <c r="I196" i="49"/>
  <c r="X195" i="49"/>
  <c r="P195" i="49"/>
  <c r="O195" i="49"/>
  <c r="M195" i="49"/>
  <c r="L195" i="49"/>
  <c r="J195" i="49"/>
  <c r="G195" i="49"/>
  <c r="X194" i="49"/>
  <c r="U194" i="49"/>
  <c r="T194" i="49"/>
  <c r="O194" i="49"/>
  <c r="N194" i="49"/>
  <c r="J194" i="49"/>
  <c r="L194" i="49"/>
  <c r="I194" i="49"/>
  <c r="G194" i="49"/>
  <c r="M194" i="49"/>
  <c r="N193" i="49"/>
  <c r="L193" i="49"/>
  <c r="O193" i="49"/>
  <c r="K193" i="49"/>
  <c r="I193" i="49"/>
  <c r="X192" i="49"/>
  <c r="U192" i="49"/>
  <c r="T192" i="49"/>
  <c r="N192" i="49"/>
  <c r="L192" i="49"/>
  <c r="J192" i="49"/>
  <c r="G192" i="49"/>
  <c r="X191" i="49"/>
  <c r="N191" i="49"/>
  <c r="M191" i="49"/>
  <c r="L191" i="49"/>
  <c r="K191" i="49"/>
  <c r="H191" i="49"/>
  <c r="I191" i="49"/>
  <c r="U190" i="49"/>
  <c r="T190" i="49"/>
  <c r="X190" i="49"/>
  <c r="N190" i="49"/>
  <c r="J190" i="49"/>
  <c r="L190" i="49"/>
  <c r="I190" i="49"/>
  <c r="G190" i="49"/>
  <c r="M190" i="49"/>
  <c r="O190" i="49"/>
  <c r="X189" i="49"/>
  <c r="U189" i="49"/>
  <c r="T189" i="49"/>
  <c r="N189" i="49"/>
  <c r="M189" i="49"/>
  <c r="O189" i="49"/>
  <c r="L189" i="49"/>
  <c r="J189" i="49"/>
  <c r="I189" i="49"/>
  <c r="G189" i="49"/>
  <c r="U188" i="49"/>
  <c r="T188" i="49"/>
  <c r="X188" i="49"/>
  <c r="O188" i="49"/>
  <c r="N188" i="49"/>
  <c r="L188" i="49"/>
  <c r="J188" i="49"/>
  <c r="M188" i="49"/>
  <c r="I188" i="49"/>
  <c r="G188" i="49"/>
  <c r="X187" i="49"/>
  <c r="P187" i="49"/>
  <c r="N187" i="49"/>
  <c r="M187" i="49"/>
  <c r="O187" i="49"/>
  <c r="L187" i="49"/>
  <c r="J187" i="49"/>
  <c r="G187" i="49"/>
  <c r="I187" i="49"/>
  <c r="X186" i="49"/>
  <c r="P186" i="49"/>
  <c r="N186" i="49"/>
  <c r="M186" i="49"/>
  <c r="L186" i="49"/>
  <c r="J186" i="49"/>
  <c r="G186" i="49"/>
  <c r="I186" i="49"/>
  <c r="U185" i="49"/>
  <c r="T185" i="49"/>
  <c r="X185" i="49"/>
  <c r="N185" i="49"/>
  <c r="J185" i="49"/>
  <c r="L185" i="49"/>
  <c r="I185" i="49"/>
  <c r="G185" i="49"/>
  <c r="X184" i="49"/>
  <c r="U184" i="49"/>
  <c r="T184" i="49"/>
  <c r="N184" i="49"/>
  <c r="M184" i="49"/>
  <c r="O184" i="49"/>
  <c r="L184" i="49"/>
  <c r="J184" i="49"/>
  <c r="I184" i="49"/>
  <c r="G184" i="49"/>
  <c r="U183" i="49"/>
  <c r="T183" i="49"/>
  <c r="X183" i="49"/>
  <c r="O183" i="49"/>
  <c r="N183" i="49"/>
  <c r="M183" i="49"/>
  <c r="L183" i="49"/>
  <c r="I183" i="49"/>
  <c r="G183" i="49"/>
  <c r="X182" i="49"/>
  <c r="P182" i="49"/>
  <c r="N182" i="49"/>
  <c r="J182" i="49"/>
  <c r="M182" i="49"/>
  <c r="O182" i="49"/>
  <c r="I182" i="49"/>
  <c r="G182" i="49"/>
  <c r="X181" i="49"/>
  <c r="P181" i="49"/>
  <c r="N181" i="49"/>
  <c r="M181" i="49"/>
  <c r="O181" i="49"/>
  <c r="L181" i="49"/>
  <c r="J181" i="49"/>
  <c r="G181" i="49"/>
  <c r="I181" i="49"/>
  <c r="X180" i="49"/>
  <c r="P180" i="49"/>
  <c r="N180" i="49"/>
  <c r="M180" i="49"/>
  <c r="L180" i="49"/>
  <c r="J180" i="49"/>
  <c r="I180" i="49"/>
  <c r="G180" i="49"/>
  <c r="U179" i="49"/>
  <c r="T179" i="49"/>
  <c r="X179" i="49"/>
  <c r="N179" i="49"/>
  <c r="L179" i="49"/>
  <c r="J179" i="49"/>
  <c r="I179" i="49"/>
  <c r="G179" i="49"/>
  <c r="X178" i="49"/>
  <c r="P178" i="49"/>
  <c r="N178" i="49"/>
  <c r="L178" i="49"/>
  <c r="J178" i="49"/>
  <c r="G178" i="49"/>
  <c r="I178" i="49"/>
  <c r="X177" i="49"/>
  <c r="U177" i="49"/>
  <c r="T177" i="49"/>
  <c r="N177" i="49"/>
  <c r="J177" i="49"/>
  <c r="I177" i="49"/>
  <c r="G177" i="49"/>
  <c r="U176" i="49"/>
  <c r="T176" i="49"/>
  <c r="X176" i="49"/>
  <c r="N176" i="49"/>
  <c r="L176" i="49"/>
  <c r="J176" i="49"/>
  <c r="G176" i="49"/>
  <c r="I176" i="49"/>
  <c r="X175" i="49"/>
  <c r="N175" i="49"/>
  <c r="M175" i="49"/>
  <c r="O175" i="49"/>
  <c r="L175" i="49"/>
  <c r="I175" i="49"/>
  <c r="X174" i="49"/>
  <c r="M174" i="49"/>
  <c r="K174" i="49"/>
  <c r="L174" i="49"/>
  <c r="I174" i="49"/>
  <c r="H174" i="49"/>
  <c r="U173" i="49"/>
  <c r="T173" i="49"/>
  <c r="X173" i="49"/>
  <c r="N173" i="49"/>
  <c r="L173" i="49"/>
  <c r="J173" i="49"/>
  <c r="G173" i="49"/>
  <c r="I173" i="49"/>
  <c r="X172" i="49"/>
  <c r="U172" i="49"/>
  <c r="T172" i="49"/>
  <c r="N172" i="49"/>
  <c r="L172" i="49"/>
  <c r="I172" i="49"/>
  <c r="G172" i="49"/>
  <c r="M172" i="49"/>
  <c r="O172" i="49"/>
  <c r="X171" i="49"/>
  <c r="U171" i="49"/>
  <c r="T171" i="49"/>
  <c r="N171" i="49"/>
  <c r="L171" i="49"/>
  <c r="J171" i="49"/>
  <c r="I171" i="49"/>
  <c r="G171" i="49"/>
  <c r="M171" i="49"/>
  <c r="O171" i="49"/>
  <c r="X170" i="49"/>
  <c r="P170" i="49"/>
  <c r="N170" i="49"/>
  <c r="L170" i="49"/>
  <c r="J170" i="49"/>
  <c r="G170" i="49"/>
  <c r="I170" i="49"/>
  <c r="X169" i="49"/>
  <c r="N169" i="49"/>
  <c r="M169" i="49"/>
  <c r="O169" i="49"/>
  <c r="L169" i="49"/>
  <c r="I169" i="49"/>
  <c r="X168" i="49"/>
  <c r="N168" i="49"/>
  <c r="J168" i="49"/>
  <c r="I168" i="49"/>
  <c r="X167" i="49"/>
  <c r="U167" i="49"/>
  <c r="T167" i="49"/>
  <c r="O167" i="49"/>
  <c r="N167" i="49"/>
  <c r="L167" i="49"/>
  <c r="I167" i="49"/>
  <c r="G167" i="49"/>
  <c r="M167" i="49"/>
  <c r="X166" i="49"/>
  <c r="O166" i="49"/>
  <c r="N166" i="49"/>
  <c r="M166" i="49"/>
  <c r="L166" i="49"/>
  <c r="I166" i="49"/>
  <c r="X165" i="49"/>
  <c r="U165" i="49"/>
  <c r="T165" i="49"/>
  <c r="N165" i="49"/>
  <c r="L165" i="49"/>
  <c r="G165" i="49"/>
  <c r="M165" i="49"/>
  <c r="O165" i="49"/>
  <c r="X164" i="49"/>
  <c r="U164" i="49"/>
  <c r="T164" i="49"/>
  <c r="N164" i="49"/>
  <c r="L164" i="49"/>
  <c r="G164" i="49"/>
  <c r="M164" i="49"/>
  <c r="O164" i="49"/>
  <c r="U163" i="49"/>
  <c r="T163" i="49"/>
  <c r="X163" i="49"/>
  <c r="N163" i="49"/>
  <c r="L163" i="49"/>
  <c r="J163" i="49"/>
  <c r="G163" i="49"/>
  <c r="I163" i="49"/>
  <c r="X162" i="49"/>
  <c r="O162" i="49"/>
  <c r="N162" i="49"/>
  <c r="M162" i="49"/>
  <c r="L162" i="49"/>
  <c r="I162" i="49"/>
  <c r="U161" i="49"/>
  <c r="T161" i="49"/>
  <c r="X161" i="49"/>
  <c r="N161" i="49"/>
  <c r="J161" i="49"/>
  <c r="L161" i="49"/>
  <c r="G161" i="49"/>
  <c r="M161" i="49"/>
  <c r="O161" i="49"/>
  <c r="X160" i="49"/>
  <c r="U160" i="49"/>
  <c r="T160" i="49"/>
  <c r="N160" i="49"/>
  <c r="M160" i="49"/>
  <c r="O160" i="49"/>
  <c r="J160" i="49"/>
  <c r="L160" i="49"/>
  <c r="I160" i="49"/>
  <c r="G160" i="49"/>
  <c r="U159" i="49"/>
  <c r="T159" i="49"/>
  <c r="X159" i="49"/>
  <c r="N159" i="49"/>
  <c r="J159" i="49"/>
  <c r="G159" i="49"/>
  <c r="I159" i="49"/>
  <c r="X158" i="49"/>
  <c r="M158" i="49"/>
  <c r="O158" i="49"/>
  <c r="K158" i="49"/>
  <c r="L158" i="49"/>
  <c r="I158" i="49"/>
  <c r="H158" i="49"/>
  <c r="N158" i="49"/>
  <c r="X157" i="49"/>
  <c r="U157" i="49"/>
  <c r="T157" i="49"/>
  <c r="N157" i="49"/>
  <c r="L157" i="49"/>
  <c r="G157" i="49"/>
  <c r="M157" i="49"/>
  <c r="O157" i="49"/>
  <c r="X156" i="49"/>
  <c r="N156" i="49"/>
  <c r="M156" i="49"/>
  <c r="O156" i="49"/>
  <c r="L156" i="49"/>
  <c r="I156" i="49"/>
  <c r="X155" i="49"/>
  <c r="M155" i="49"/>
  <c r="L155" i="49"/>
  <c r="K155" i="49"/>
  <c r="N155" i="49"/>
  <c r="O155" i="49"/>
  <c r="I155" i="49"/>
  <c r="X154" i="49"/>
  <c r="P154" i="49"/>
  <c r="N154" i="49"/>
  <c r="L154" i="49"/>
  <c r="J154" i="49"/>
  <c r="M154" i="49"/>
  <c r="O154" i="49"/>
  <c r="I154" i="49"/>
  <c r="X153" i="49"/>
  <c r="P153" i="49"/>
  <c r="L153" i="49"/>
  <c r="K153" i="49"/>
  <c r="J153" i="49"/>
  <c r="M153" i="49"/>
  <c r="I153" i="49"/>
  <c r="H153" i="49"/>
  <c r="X152" i="49"/>
  <c r="P152" i="49"/>
  <c r="N152" i="49"/>
  <c r="M152" i="49"/>
  <c r="O152" i="49"/>
  <c r="L152" i="49"/>
  <c r="I152" i="49"/>
  <c r="X151" i="49"/>
  <c r="N151" i="49"/>
  <c r="L151" i="49"/>
  <c r="G151" i="49"/>
  <c r="M151" i="49"/>
  <c r="O151" i="49"/>
  <c r="X150" i="49"/>
  <c r="N150" i="49"/>
  <c r="M150" i="49"/>
  <c r="O150" i="49"/>
  <c r="L150" i="49"/>
  <c r="I150" i="49"/>
  <c r="X149" i="49"/>
  <c r="N149" i="49"/>
  <c r="M149" i="49"/>
  <c r="O149" i="49"/>
  <c r="L149" i="49"/>
  <c r="I149" i="49"/>
  <c r="G149" i="49"/>
  <c r="X148" i="49"/>
  <c r="N148" i="49"/>
  <c r="M148" i="49"/>
  <c r="O148" i="49"/>
  <c r="L148" i="49"/>
  <c r="I148" i="49"/>
  <c r="X147" i="49"/>
  <c r="N147" i="49"/>
  <c r="M147" i="49"/>
  <c r="O147" i="49"/>
  <c r="L147" i="49"/>
  <c r="I147" i="49"/>
  <c r="X146" i="49"/>
  <c r="O146" i="49"/>
  <c r="N146" i="49"/>
  <c r="M146" i="49"/>
  <c r="L146" i="49"/>
  <c r="I146" i="49"/>
  <c r="N145" i="49"/>
  <c r="L145" i="49"/>
  <c r="J145" i="49"/>
  <c r="M145" i="49"/>
  <c r="O145" i="49"/>
  <c r="I145" i="49"/>
  <c r="X144" i="49"/>
  <c r="N144" i="49"/>
  <c r="M144" i="49"/>
  <c r="O144" i="49"/>
  <c r="J144" i="49"/>
  <c r="L144" i="49"/>
  <c r="I144" i="49"/>
  <c r="X143" i="49"/>
  <c r="P143" i="49"/>
  <c r="N143" i="49"/>
  <c r="M143" i="49"/>
  <c r="O143" i="49"/>
  <c r="L143" i="49"/>
  <c r="I143" i="49"/>
  <c r="X142" i="49"/>
  <c r="P142" i="49"/>
  <c r="N142" i="49"/>
  <c r="L142" i="49"/>
  <c r="J142" i="49"/>
  <c r="I142" i="49"/>
  <c r="V139" i="49"/>
  <c r="V649" i="49"/>
  <c r="Q139" i="49"/>
  <c r="X138" i="49"/>
  <c r="N138" i="49"/>
  <c r="J138" i="49"/>
  <c r="I138" i="49"/>
  <c r="X137" i="49"/>
  <c r="N137" i="49"/>
  <c r="M137" i="49"/>
  <c r="O137" i="49"/>
  <c r="L137" i="49"/>
  <c r="I137" i="49"/>
  <c r="X136" i="49"/>
  <c r="N136" i="49"/>
  <c r="M136" i="49"/>
  <c r="O136" i="49"/>
  <c r="L136" i="49"/>
  <c r="I136" i="49"/>
  <c r="U135" i="49"/>
  <c r="T135" i="49"/>
  <c r="X135" i="49"/>
  <c r="N135" i="49"/>
  <c r="J135" i="49"/>
  <c r="M135" i="49"/>
  <c r="O135" i="49"/>
  <c r="I135" i="49"/>
  <c r="G135" i="49"/>
  <c r="X134" i="49"/>
  <c r="N134" i="49"/>
  <c r="J134" i="49"/>
  <c r="M134" i="49"/>
  <c r="O134" i="49"/>
  <c r="I134" i="49"/>
  <c r="X133" i="49"/>
  <c r="O133" i="49"/>
  <c r="N133" i="49"/>
  <c r="M133" i="49"/>
  <c r="L133" i="49"/>
  <c r="I133" i="49"/>
  <c r="X132" i="49"/>
  <c r="P132" i="49"/>
  <c r="N132" i="49"/>
  <c r="L132" i="49"/>
  <c r="J132" i="49"/>
  <c r="M132" i="49"/>
  <c r="O132" i="49"/>
  <c r="I132" i="49"/>
  <c r="X131" i="49"/>
  <c r="P131" i="49"/>
  <c r="N131" i="49"/>
  <c r="L131" i="49"/>
  <c r="J131" i="49"/>
  <c r="M131" i="49"/>
  <c r="I131" i="49"/>
  <c r="X130" i="49"/>
  <c r="N130" i="49"/>
  <c r="M130" i="49"/>
  <c r="O130" i="49"/>
  <c r="J130" i="49"/>
  <c r="L130" i="49"/>
  <c r="I130" i="49"/>
  <c r="X129" i="49"/>
  <c r="N129" i="49"/>
  <c r="L129" i="49"/>
  <c r="J129" i="49"/>
  <c r="I129" i="49"/>
  <c r="G129" i="49"/>
  <c r="M129" i="49"/>
  <c r="O129" i="49"/>
  <c r="X128" i="49"/>
  <c r="N128" i="49"/>
  <c r="L128" i="49"/>
  <c r="J128" i="49"/>
  <c r="M128" i="49"/>
  <c r="O128" i="49"/>
  <c r="I128" i="49"/>
  <c r="X127" i="49"/>
  <c r="N127" i="49"/>
  <c r="M127" i="49"/>
  <c r="O127" i="49"/>
  <c r="L127" i="49"/>
  <c r="I127" i="49"/>
  <c r="X126" i="49"/>
  <c r="N126" i="49"/>
  <c r="L126" i="49"/>
  <c r="J126" i="49"/>
  <c r="M126" i="49"/>
  <c r="O126" i="49"/>
  <c r="I126" i="49"/>
  <c r="X125" i="49"/>
  <c r="N125" i="49"/>
  <c r="J125" i="49"/>
  <c r="M125" i="49"/>
  <c r="O125" i="49"/>
  <c r="I125" i="49"/>
  <c r="G125" i="49"/>
  <c r="X124" i="49"/>
  <c r="P124" i="49"/>
  <c r="N124" i="49"/>
  <c r="L124" i="49"/>
  <c r="J124" i="49"/>
  <c r="M124" i="49"/>
  <c r="O124" i="49"/>
  <c r="I124" i="49"/>
  <c r="X123" i="49"/>
  <c r="U123" i="49"/>
  <c r="T123" i="49"/>
  <c r="N123" i="49"/>
  <c r="M123" i="49"/>
  <c r="O123" i="49"/>
  <c r="L123" i="49"/>
  <c r="J123" i="49"/>
  <c r="I123" i="49"/>
  <c r="G123" i="49"/>
  <c r="X122" i="49"/>
  <c r="N122" i="49"/>
  <c r="M122" i="49"/>
  <c r="O122" i="49"/>
  <c r="L122" i="49"/>
  <c r="J122" i="49"/>
  <c r="I122" i="49"/>
  <c r="G122" i="49"/>
  <c r="X121" i="49"/>
  <c r="N121" i="49"/>
  <c r="M121" i="49"/>
  <c r="O121" i="49"/>
  <c r="L121" i="49"/>
  <c r="J121" i="49"/>
  <c r="I121" i="49"/>
  <c r="X120" i="49"/>
  <c r="N120" i="49"/>
  <c r="L120" i="49"/>
  <c r="J120" i="49"/>
  <c r="M120" i="49"/>
  <c r="O120" i="49"/>
  <c r="I120" i="49"/>
  <c r="X119" i="49"/>
  <c r="N119" i="49"/>
  <c r="J119" i="49"/>
  <c r="I119" i="49"/>
  <c r="X118" i="49"/>
  <c r="O118" i="49"/>
  <c r="N118" i="49"/>
  <c r="M118" i="49"/>
  <c r="L118" i="49"/>
  <c r="J118" i="49"/>
  <c r="I118" i="49"/>
  <c r="G118" i="49"/>
  <c r="N117" i="49"/>
  <c r="L117" i="49"/>
  <c r="J117" i="49"/>
  <c r="G117" i="49"/>
  <c r="U116" i="49"/>
  <c r="T116" i="49"/>
  <c r="X116" i="49"/>
  <c r="N116" i="49"/>
  <c r="J116" i="49"/>
  <c r="I116" i="49"/>
  <c r="G116" i="49"/>
  <c r="X115" i="49"/>
  <c r="N115" i="49"/>
  <c r="J115" i="49"/>
  <c r="I115" i="49"/>
  <c r="G115" i="49"/>
  <c r="X114" i="49"/>
  <c r="P114" i="49"/>
  <c r="N114" i="49"/>
  <c r="L114" i="49"/>
  <c r="J114" i="49"/>
  <c r="G114" i="49"/>
  <c r="X113" i="49"/>
  <c r="P113" i="49"/>
  <c r="N113" i="49"/>
  <c r="M113" i="49"/>
  <c r="O113" i="49"/>
  <c r="L113" i="49"/>
  <c r="J113" i="49"/>
  <c r="I113" i="49"/>
  <c r="G113" i="49"/>
  <c r="X112" i="49"/>
  <c r="P112" i="49"/>
  <c r="N112" i="49"/>
  <c r="J112" i="49"/>
  <c r="L112" i="49"/>
  <c r="G112" i="49"/>
  <c r="U111" i="49"/>
  <c r="T111" i="49"/>
  <c r="X111" i="49"/>
  <c r="N111" i="49"/>
  <c r="M111" i="49"/>
  <c r="O111" i="49"/>
  <c r="J111" i="49"/>
  <c r="L111" i="49"/>
  <c r="I111" i="49"/>
  <c r="G111" i="49"/>
  <c r="X110" i="49"/>
  <c r="N110" i="49"/>
  <c r="M110" i="49"/>
  <c r="O110" i="49"/>
  <c r="L110" i="49"/>
  <c r="I110" i="49"/>
  <c r="X109" i="49"/>
  <c r="P109" i="49"/>
  <c r="O109" i="49"/>
  <c r="N109" i="49"/>
  <c r="L109" i="49"/>
  <c r="J109" i="49"/>
  <c r="I109" i="49"/>
  <c r="G109" i="49"/>
  <c r="M109" i="49"/>
  <c r="X108" i="49"/>
  <c r="O108" i="49"/>
  <c r="N108" i="49"/>
  <c r="L108" i="49"/>
  <c r="J108" i="49"/>
  <c r="M108" i="49"/>
  <c r="I108" i="49"/>
  <c r="X107" i="49"/>
  <c r="P107" i="49"/>
  <c r="N107" i="49"/>
  <c r="L107" i="49"/>
  <c r="J107" i="49"/>
  <c r="I107" i="49"/>
  <c r="G107" i="49"/>
  <c r="M107" i="49"/>
  <c r="O107" i="49"/>
  <c r="X106" i="49"/>
  <c r="O106" i="49"/>
  <c r="N106" i="49"/>
  <c r="M106" i="49"/>
  <c r="L106" i="49"/>
  <c r="I106" i="49"/>
  <c r="X105" i="49"/>
  <c r="W105" i="49"/>
  <c r="P105" i="49"/>
  <c r="N105" i="49"/>
  <c r="L105" i="49"/>
  <c r="J105" i="49"/>
  <c r="M105" i="49"/>
  <c r="O105" i="49"/>
  <c r="I105" i="49"/>
  <c r="U104" i="49"/>
  <c r="T104" i="49"/>
  <c r="X104" i="49"/>
  <c r="N104" i="49"/>
  <c r="J104" i="49"/>
  <c r="L104" i="49"/>
  <c r="I104" i="49"/>
  <c r="G104" i="49"/>
  <c r="X103" i="49"/>
  <c r="P103" i="49"/>
  <c r="N103" i="49"/>
  <c r="L103" i="49"/>
  <c r="J103" i="49"/>
  <c r="G103" i="49"/>
  <c r="X102" i="49"/>
  <c r="N102" i="49"/>
  <c r="L102" i="49"/>
  <c r="J102" i="49"/>
  <c r="G102" i="49"/>
  <c r="X101" i="49"/>
  <c r="N101" i="49"/>
  <c r="M101" i="49"/>
  <c r="O101" i="49"/>
  <c r="L101" i="49"/>
  <c r="I101" i="49"/>
  <c r="H101" i="49"/>
  <c r="X100" i="49"/>
  <c r="M100" i="49"/>
  <c r="K100" i="49"/>
  <c r="I100" i="49"/>
  <c r="W99" i="49"/>
  <c r="P99" i="49"/>
  <c r="N99" i="49"/>
  <c r="L99" i="49"/>
  <c r="J99" i="49"/>
  <c r="G99" i="49"/>
  <c r="U98" i="49"/>
  <c r="T98" i="49"/>
  <c r="X98" i="49"/>
  <c r="N98" i="49"/>
  <c r="J98" i="49"/>
  <c r="I98" i="49"/>
  <c r="G98" i="49"/>
  <c r="X97" i="49"/>
  <c r="N97" i="49"/>
  <c r="M97" i="49"/>
  <c r="K97" i="49"/>
  <c r="L97" i="49"/>
  <c r="I97" i="49"/>
  <c r="H97" i="49"/>
  <c r="X96" i="49"/>
  <c r="N96" i="49"/>
  <c r="M96" i="49"/>
  <c r="O96" i="49"/>
  <c r="L96" i="49"/>
  <c r="I96" i="49"/>
  <c r="G96" i="49"/>
  <c r="X95" i="49"/>
  <c r="O95" i="49"/>
  <c r="N95" i="49"/>
  <c r="M95" i="49"/>
  <c r="L95" i="49"/>
  <c r="I95" i="49"/>
  <c r="X94" i="49"/>
  <c r="N94" i="49"/>
  <c r="J94" i="49"/>
  <c r="L94" i="49"/>
  <c r="I94" i="49"/>
  <c r="G94" i="49"/>
  <c r="X93" i="49"/>
  <c r="U93" i="49"/>
  <c r="T93" i="49"/>
  <c r="N93" i="49"/>
  <c r="M93" i="49"/>
  <c r="O93" i="49"/>
  <c r="L93" i="49"/>
  <c r="J93" i="49"/>
  <c r="I93" i="49"/>
  <c r="G93" i="49"/>
  <c r="U92" i="49"/>
  <c r="T92" i="49"/>
  <c r="X92" i="49"/>
  <c r="N92" i="49"/>
  <c r="L92" i="49"/>
  <c r="J92" i="49"/>
  <c r="G92" i="49"/>
  <c r="X91" i="49"/>
  <c r="P91" i="49"/>
  <c r="N91" i="49"/>
  <c r="M91" i="49"/>
  <c r="O91" i="49"/>
  <c r="L91" i="49"/>
  <c r="J91" i="49"/>
  <c r="I91" i="49"/>
  <c r="G91" i="49"/>
  <c r="X90" i="49"/>
  <c r="U90" i="49"/>
  <c r="T90" i="49"/>
  <c r="N90" i="49"/>
  <c r="L90" i="49"/>
  <c r="J90" i="49"/>
  <c r="I90" i="49"/>
  <c r="G90" i="49"/>
  <c r="M90" i="49"/>
  <c r="O90" i="49"/>
  <c r="X89" i="49"/>
  <c r="P89" i="49"/>
  <c r="N89" i="49"/>
  <c r="J89" i="49"/>
  <c r="L89" i="49"/>
  <c r="I89" i="49"/>
  <c r="G89" i="49"/>
  <c r="X88" i="49"/>
  <c r="U88" i="49"/>
  <c r="T88" i="49"/>
  <c r="N88" i="49"/>
  <c r="M88" i="49"/>
  <c r="O88" i="49"/>
  <c r="L88" i="49"/>
  <c r="J88" i="49"/>
  <c r="I88" i="49"/>
  <c r="G88" i="49"/>
  <c r="X87" i="49"/>
  <c r="N87" i="49"/>
  <c r="M87" i="49"/>
  <c r="O87" i="49"/>
  <c r="L87" i="49"/>
  <c r="J87" i="49"/>
  <c r="I87" i="49"/>
  <c r="X86" i="49"/>
  <c r="P86" i="49"/>
  <c r="N86" i="49"/>
  <c r="M86" i="49"/>
  <c r="O86" i="49"/>
  <c r="L86" i="49"/>
  <c r="J86" i="49"/>
  <c r="I86" i="49"/>
  <c r="G86" i="49"/>
  <c r="X85" i="49"/>
  <c r="U85" i="49"/>
  <c r="T85" i="49"/>
  <c r="N85" i="49"/>
  <c r="L85" i="49"/>
  <c r="J85" i="49"/>
  <c r="G85" i="49"/>
  <c r="X84" i="49"/>
  <c r="P84" i="49"/>
  <c r="O84" i="49"/>
  <c r="N84" i="49"/>
  <c r="M84" i="49"/>
  <c r="J84" i="49"/>
  <c r="L84" i="49"/>
  <c r="I84" i="49"/>
  <c r="U83" i="49"/>
  <c r="T83" i="49"/>
  <c r="X83" i="49"/>
  <c r="N83" i="49"/>
  <c r="J83" i="49"/>
  <c r="L83" i="49"/>
  <c r="G83" i="49"/>
  <c r="X82" i="49"/>
  <c r="N82" i="49"/>
  <c r="J82" i="49"/>
  <c r="L82" i="49"/>
  <c r="G82" i="49"/>
  <c r="U81" i="49"/>
  <c r="T81" i="49"/>
  <c r="X81" i="49"/>
  <c r="N81" i="49"/>
  <c r="J81" i="49"/>
  <c r="L81" i="49"/>
  <c r="I81" i="49"/>
  <c r="G81" i="49"/>
  <c r="X80" i="49"/>
  <c r="P80" i="49"/>
  <c r="N80" i="49"/>
  <c r="L80" i="49"/>
  <c r="J80" i="49"/>
  <c r="G80" i="49"/>
  <c r="X79" i="49"/>
  <c r="P79" i="49"/>
  <c r="N79" i="49"/>
  <c r="M79" i="49"/>
  <c r="O79" i="49"/>
  <c r="L79" i="49"/>
  <c r="J79" i="49"/>
  <c r="I79" i="49"/>
  <c r="G79" i="49"/>
  <c r="X78" i="49"/>
  <c r="U78" i="49"/>
  <c r="T78" i="49"/>
  <c r="N78" i="49"/>
  <c r="L78" i="49"/>
  <c r="J78" i="49"/>
  <c r="G78" i="49"/>
  <c r="X77" i="49"/>
  <c r="P77" i="49"/>
  <c r="N77" i="49"/>
  <c r="M77" i="49"/>
  <c r="O77" i="49"/>
  <c r="J77" i="49"/>
  <c r="L77" i="49"/>
  <c r="I77" i="49"/>
  <c r="G77" i="49"/>
  <c r="X76" i="49"/>
  <c r="N76" i="49"/>
  <c r="M76" i="49"/>
  <c r="O76" i="49"/>
  <c r="L76" i="49"/>
  <c r="G76" i="49"/>
  <c r="I76" i="49"/>
  <c r="U75" i="49"/>
  <c r="T75" i="49"/>
  <c r="X75" i="49"/>
  <c r="N75" i="49"/>
  <c r="J75" i="49"/>
  <c r="L75" i="49"/>
  <c r="G75" i="49"/>
  <c r="X74" i="49"/>
  <c r="U74" i="49"/>
  <c r="T74" i="49"/>
  <c r="N74" i="49"/>
  <c r="M74" i="49"/>
  <c r="O74" i="49"/>
  <c r="J74" i="49"/>
  <c r="L74" i="49"/>
  <c r="I74" i="49"/>
  <c r="G74" i="49"/>
  <c r="X73" i="49"/>
  <c r="P73" i="49"/>
  <c r="N73" i="49"/>
  <c r="J73" i="49"/>
  <c r="L73" i="49"/>
  <c r="G73" i="49"/>
  <c r="X72" i="49"/>
  <c r="N72" i="49"/>
  <c r="J72" i="49"/>
  <c r="L72" i="49"/>
  <c r="G72" i="49"/>
  <c r="X71" i="49"/>
  <c r="N71" i="49"/>
  <c r="L71" i="49"/>
  <c r="J71" i="49"/>
  <c r="M71" i="49"/>
  <c r="I71" i="49"/>
  <c r="X70" i="49"/>
  <c r="U70" i="49"/>
  <c r="T70" i="49"/>
  <c r="P70" i="49"/>
  <c r="N70" i="49"/>
  <c r="M70" i="49"/>
  <c r="J70" i="49"/>
  <c r="L70" i="49"/>
  <c r="G70" i="49"/>
  <c r="I70" i="49"/>
  <c r="X69" i="49"/>
  <c r="U69" i="49"/>
  <c r="T69" i="49"/>
  <c r="N69" i="49"/>
  <c r="M69" i="49"/>
  <c r="O69" i="49"/>
  <c r="L69" i="49"/>
  <c r="G69" i="49"/>
  <c r="I69" i="49"/>
  <c r="X68" i="49"/>
  <c r="N68" i="49"/>
  <c r="L68" i="49"/>
  <c r="J68" i="49"/>
  <c r="G68" i="49"/>
  <c r="X67" i="49"/>
  <c r="N67" i="49"/>
  <c r="O67" i="49"/>
  <c r="M67" i="49"/>
  <c r="L67" i="49"/>
  <c r="I67" i="49"/>
  <c r="X66" i="49"/>
  <c r="P66" i="49"/>
  <c r="N66" i="49"/>
  <c r="J66" i="49"/>
  <c r="L66" i="49"/>
  <c r="G66" i="49"/>
  <c r="I66" i="49"/>
  <c r="X65" i="49"/>
  <c r="P65" i="49"/>
  <c r="N65" i="49"/>
  <c r="L65" i="49"/>
  <c r="J65" i="49"/>
  <c r="G65" i="49"/>
  <c r="U64" i="49"/>
  <c r="T64" i="49"/>
  <c r="X64" i="49"/>
  <c r="N64" i="49"/>
  <c r="J64" i="49"/>
  <c r="L64" i="49"/>
  <c r="G64" i="49"/>
  <c r="X63" i="49"/>
  <c r="N63" i="49"/>
  <c r="J63" i="49"/>
  <c r="I63" i="49"/>
  <c r="X62" i="49"/>
  <c r="N62" i="49"/>
  <c r="M62" i="49"/>
  <c r="O62" i="49"/>
  <c r="L62" i="49"/>
  <c r="G62" i="49"/>
  <c r="I62" i="49"/>
  <c r="P61" i="49"/>
  <c r="N61" i="49"/>
  <c r="L61" i="49"/>
  <c r="J61" i="49"/>
  <c r="G61" i="49"/>
  <c r="X60" i="49"/>
  <c r="P60" i="49"/>
  <c r="O60" i="49"/>
  <c r="N60" i="49"/>
  <c r="M60" i="49"/>
  <c r="J60" i="49"/>
  <c r="L60" i="49"/>
  <c r="I60" i="49"/>
  <c r="G60" i="49"/>
  <c r="X59" i="49"/>
  <c r="U59" i="49"/>
  <c r="T59" i="49"/>
  <c r="O59" i="49"/>
  <c r="N59" i="49"/>
  <c r="L59" i="49"/>
  <c r="J59" i="49"/>
  <c r="I59" i="49"/>
  <c r="G59" i="49"/>
  <c r="M59" i="49"/>
  <c r="U58" i="49"/>
  <c r="T58" i="49"/>
  <c r="X58" i="49"/>
  <c r="N58" i="49"/>
  <c r="J58" i="49"/>
  <c r="L58" i="49"/>
  <c r="G58" i="49"/>
  <c r="X57" i="49"/>
  <c r="N57" i="49"/>
  <c r="J57" i="49"/>
  <c r="M57" i="49"/>
  <c r="O57" i="49"/>
  <c r="I57" i="49"/>
  <c r="X56" i="49"/>
  <c r="U56" i="49"/>
  <c r="T56" i="49"/>
  <c r="O56" i="49"/>
  <c r="N56" i="49"/>
  <c r="M56" i="49"/>
  <c r="L56" i="49"/>
  <c r="J56" i="49"/>
  <c r="I56" i="49"/>
  <c r="G56" i="49"/>
  <c r="X55" i="49"/>
  <c r="U55" i="49"/>
  <c r="T55" i="49"/>
  <c r="N55" i="49"/>
  <c r="L55" i="49"/>
  <c r="J55" i="49"/>
  <c r="G55" i="49"/>
  <c r="U54" i="49"/>
  <c r="T54" i="49"/>
  <c r="X54" i="49"/>
  <c r="N54" i="49"/>
  <c r="M54" i="49"/>
  <c r="L54" i="49"/>
  <c r="I54" i="49"/>
  <c r="G54" i="49"/>
  <c r="X53" i="49"/>
  <c r="P53" i="49"/>
  <c r="N53" i="49"/>
  <c r="J53" i="49"/>
  <c r="L53" i="49"/>
  <c r="G53" i="49"/>
  <c r="X52" i="49"/>
  <c r="U52" i="49"/>
  <c r="T52" i="49"/>
  <c r="N52" i="49"/>
  <c r="M52" i="49"/>
  <c r="O52" i="49"/>
  <c r="J52" i="49"/>
  <c r="L52" i="49"/>
  <c r="I52" i="49"/>
  <c r="G52" i="49"/>
  <c r="X51" i="49"/>
  <c r="N51" i="49"/>
  <c r="M51" i="49"/>
  <c r="O51" i="49"/>
  <c r="L51" i="49"/>
  <c r="I51" i="49"/>
  <c r="X50" i="49"/>
  <c r="N50" i="49"/>
  <c r="M50" i="49"/>
  <c r="L50" i="49"/>
  <c r="I50" i="49"/>
  <c r="X49" i="49"/>
  <c r="P49" i="49"/>
  <c r="O49" i="49"/>
  <c r="N49" i="49"/>
  <c r="M49" i="49"/>
  <c r="J49" i="49"/>
  <c r="L49" i="49"/>
  <c r="I49" i="49"/>
  <c r="G49" i="49"/>
  <c r="X48" i="49"/>
  <c r="N48" i="49"/>
  <c r="M48" i="49"/>
  <c r="O48" i="49"/>
  <c r="L48" i="49"/>
  <c r="I48" i="49"/>
  <c r="X47" i="49"/>
  <c r="P47" i="49"/>
  <c r="N47" i="49"/>
  <c r="L47" i="49"/>
  <c r="J47" i="49"/>
  <c r="G47" i="49"/>
  <c r="X46" i="49"/>
  <c r="N46" i="49"/>
  <c r="O46" i="49"/>
  <c r="M46" i="49"/>
  <c r="L46" i="49"/>
  <c r="I46" i="49"/>
  <c r="U45" i="49"/>
  <c r="T45" i="49"/>
  <c r="X45" i="49"/>
  <c r="N45" i="49"/>
  <c r="L45" i="49"/>
  <c r="I45" i="49"/>
  <c r="G45" i="49"/>
  <c r="M45" i="49"/>
  <c r="O45" i="49"/>
  <c r="X44" i="49"/>
  <c r="U44" i="49"/>
  <c r="T44" i="49"/>
  <c r="N44" i="49"/>
  <c r="M44" i="49"/>
  <c r="O44" i="49"/>
  <c r="L44" i="49"/>
  <c r="J44" i="49"/>
  <c r="I44" i="49"/>
  <c r="G44" i="49"/>
  <c r="X43" i="49"/>
  <c r="N43" i="49"/>
  <c r="M43" i="49"/>
  <c r="O43" i="49"/>
  <c r="L43" i="49"/>
  <c r="I43" i="49"/>
  <c r="X42" i="49"/>
  <c r="U42" i="49"/>
  <c r="T42" i="49"/>
  <c r="N42" i="49"/>
  <c r="M42" i="49"/>
  <c r="O42" i="49"/>
  <c r="J42" i="49"/>
  <c r="L42" i="49"/>
  <c r="I42" i="49"/>
  <c r="G42" i="49"/>
  <c r="X41" i="49"/>
  <c r="N41" i="49"/>
  <c r="M41" i="49"/>
  <c r="O41" i="49"/>
  <c r="L41" i="49"/>
  <c r="I41" i="49"/>
  <c r="X40" i="49"/>
  <c r="P40" i="49"/>
  <c r="N40" i="49"/>
  <c r="L40" i="49"/>
  <c r="J40" i="49"/>
  <c r="G40" i="49"/>
  <c r="U39" i="49"/>
  <c r="T39" i="49"/>
  <c r="X39" i="49"/>
  <c r="N39" i="49"/>
  <c r="M39" i="49"/>
  <c r="L39" i="49"/>
  <c r="I39" i="49"/>
  <c r="G39" i="49"/>
  <c r="X38" i="49"/>
  <c r="M38" i="49"/>
  <c r="O38" i="49"/>
  <c r="L38" i="49"/>
  <c r="K38" i="49"/>
  <c r="K139" i="49"/>
  <c r="I38" i="49"/>
  <c r="H38" i="49"/>
  <c r="N38" i="49"/>
  <c r="X37" i="49"/>
  <c r="O37" i="49"/>
  <c r="N37" i="49"/>
  <c r="M37" i="49"/>
  <c r="L37" i="49"/>
  <c r="J37" i="49"/>
  <c r="I37" i="49"/>
  <c r="U36" i="49"/>
  <c r="T36" i="49"/>
  <c r="X36" i="49"/>
  <c r="N36" i="49"/>
  <c r="J36" i="49"/>
  <c r="L36" i="49"/>
  <c r="G36" i="49"/>
  <c r="X35" i="49"/>
  <c r="U35" i="49"/>
  <c r="T35" i="49"/>
  <c r="N35" i="49"/>
  <c r="J35" i="49"/>
  <c r="L35" i="49"/>
  <c r="I35" i="49"/>
  <c r="G35" i="49"/>
  <c r="X34" i="49"/>
  <c r="U34" i="49"/>
  <c r="T34" i="49"/>
  <c r="N34" i="49"/>
  <c r="M34" i="49"/>
  <c r="O34" i="49"/>
  <c r="L34" i="49"/>
  <c r="G34" i="49"/>
  <c r="I34" i="49"/>
  <c r="X33" i="49"/>
  <c r="N33" i="49"/>
  <c r="M33" i="49"/>
  <c r="L33" i="49"/>
  <c r="I33" i="49"/>
  <c r="G33" i="49"/>
  <c r="X32" i="49"/>
  <c r="N32" i="49"/>
  <c r="M32" i="49"/>
  <c r="O32" i="49"/>
  <c r="L32" i="49"/>
  <c r="I32" i="49"/>
  <c r="G32" i="49"/>
  <c r="X31" i="49"/>
  <c r="N31" i="49"/>
  <c r="L31" i="49"/>
  <c r="G31" i="49"/>
  <c r="X30" i="49"/>
  <c r="N30" i="49"/>
  <c r="M30" i="49"/>
  <c r="L30" i="49"/>
  <c r="I30" i="49"/>
  <c r="X29" i="49"/>
  <c r="N29" i="49"/>
  <c r="O29" i="49"/>
  <c r="L29" i="49"/>
  <c r="I29" i="49"/>
  <c r="G29" i="49"/>
  <c r="M29" i="49"/>
  <c r="X28" i="49"/>
  <c r="N28" i="49"/>
  <c r="J28" i="49"/>
  <c r="L28" i="49"/>
  <c r="I28" i="49"/>
  <c r="G28" i="49"/>
  <c r="M28" i="49"/>
  <c r="O28" i="49"/>
  <c r="X27" i="49"/>
  <c r="N27" i="49"/>
  <c r="O27" i="49"/>
  <c r="M27" i="49"/>
  <c r="L27" i="49"/>
  <c r="I27" i="49"/>
  <c r="X26" i="49"/>
  <c r="P26" i="49"/>
  <c r="N26" i="49"/>
  <c r="M26" i="49"/>
  <c r="O26" i="49"/>
  <c r="L26" i="49"/>
  <c r="J26" i="49"/>
  <c r="I26" i="49"/>
  <c r="X25" i="49"/>
  <c r="U25" i="49"/>
  <c r="T25" i="49"/>
  <c r="N25" i="49"/>
  <c r="J25" i="49"/>
  <c r="L25" i="49"/>
  <c r="G25" i="49"/>
  <c r="I25" i="49"/>
  <c r="X24" i="49"/>
  <c r="N24" i="49"/>
  <c r="M24" i="49"/>
  <c r="O24" i="49"/>
  <c r="J24" i="49"/>
  <c r="L24" i="49"/>
  <c r="G24" i="49"/>
  <c r="I24" i="49"/>
  <c r="X23" i="49"/>
  <c r="N23" i="49"/>
  <c r="M23" i="49"/>
  <c r="O23" i="49"/>
  <c r="L23" i="49"/>
  <c r="I23" i="49"/>
  <c r="X22" i="49"/>
  <c r="O22" i="49"/>
  <c r="N22" i="49"/>
  <c r="M22" i="49"/>
  <c r="L22" i="49"/>
  <c r="I22" i="49"/>
  <c r="X21" i="49"/>
  <c r="N21" i="49"/>
  <c r="M21" i="49"/>
  <c r="O21" i="49"/>
  <c r="L21" i="49"/>
  <c r="I21" i="49"/>
  <c r="X20" i="49"/>
  <c r="O20" i="49"/>
  <c r="N20" i="49"/>
  <c r="M20" i="49"/>
  <c r="L20" i="49"/>
  <c r="I20" i="49"/>
  <c r="X19" i="49"/>
  <c r="N19" i="49"/>
  <c r="M19" i="49"/>
  <c r="O19" i="49"/>
  <c r="L19" i="49"/>
  <c r="G19" i="49"/>
  <c r="I19" i="49"/>
  <c r="X18" i="49"/>
  <c r="N18" i="49"/>
  <c r="M18" i="49"/>
  <c r="O18" i="49"/>
  <c r="L18" i="49"/>
  <c r="I18" i="49"/>
  <c r="X17" i="49"/>
  <c r="N17" i="49"/>
  <c r="O17" i="49"/>
  <c r="M17" i="49"/>
  <c r="L17" i="49"/>
  <c r="I17" i="49"/>
  <c r="X16" i="49"/>
  <c r="P16" i="49"/>
  <c r="N16" i="49"/>
  <c r="L16" i="49"/>
  <c r="J16" i="49"/>
  <c r="G16" i="49"/>
  <c r="G139" i="49"/>
  <c r="X15" i="49"/>
  <c r="N15" i="49"/>
  <c r="M15" i="49"/>
  <c r="O15" i="49"/>
  <c r="L15" i="49"/>
  <c r="I15" i="49"/>
  <c r="X14" i="49"/>
  <c r="P14" i="49"/>
  <c r="N14" i="49"/>
  <c r="M14" i="49"/>
  <c r="O14" i="49"/>
  <c r="L14" i="49"/>
  <c r="I14" i="49"/>
  <c r="X13" i="49"/>
  <c r="N13" i="49"/>
  <c r="O13" i="49"/>
  <c r="M13" i="49"/>
  <c r="L13" i="49"/>
  <c r="I13" i="49"/>
  <c r="X12" i="49"/>
  <c r="N12" i="49"/>
  <c r="M12" i="49"/>
  <c r="O12" i="49"/>
  <c r="L12" i="49"/>
  <c r="I12" i="49"/>
  <c r="X11" i="49"/>
  <c r="P11" i="49"/>
  <c r="O11" i="49"/>
  <c r="N11" i="49"/>
  <c r="M11" i="49"/>
  <c r="L11" i="49"/>
  <c r="I11" i="49"/>
  <c r="X10" i="49"/>
  <c r="N10" i="49"/>
  <c r="M10" i="49"/>
  <c r="O10" i="49"/>
  <c r="L10" i="49"/>
  <c r="I10" i="49"/>
  <c r="M36" i="49"/>
  <c r="O36" i="49"/>
  <c r="I36" i="49"/>
  <c r="M55" i="49"/>
  <c r="O55" i="49"/>
  <c r="I55" i="49"/>
  <c r="I80" i="49"/>
  <c r="M80" i="49"/>
  <c r="O80" i="49"/>
  <c r="M92" i="49"/>
  <c r="O92" i="49"/>
  <c r="I92" i="49"/>
  <c r="O131" i="49"/>
  <c r="X139" i="49"/>
  <c r="M25" i="49"/>
  <c r="O25" i="49"/>
  <c r="I72" i="49"/>
  <c r="M72" i="49"/>
  <c r="O72" i="49"/>
  <c r="M81" i="49"/>
  <c r="O81" i="49"/>
  <c r="M112" i="49"/>
  <c r="O112" i="49"/>
  <c r="G207" i="49"/>
  <c r="M159" i="49"/>
  <c r="O159" i="49"/>
  <c r="L159" i="49"/>
  <c r="L207" i="49"/>
  <c r="M168" i="49"/>
  <c r="O168" i="49"/>
  <c r="L168" i="49"/>
  <c r="M216" i="49"/>
  <c r="O216" i="49"/>
  <c r="L216" i="49"/>
  <c r="M83" i="49"/>
  <c r="O83" i="49"/>
  <c r="I83" i="49"/>
  <c r="I16" i="49"/>
  <c r="I139" i="49"/>
  <c r="M35" i="49"/>
  <c r="O35" i="49"/>
  <c r="M63" i="49"/>
  <c r="O63" i="49"/>
  <c r="L63" i="49"/>
  <c r="M65" i="49"/>
  <c r="O65" i="49"/>
  <c r="I65" i="49"/>
  <c r="M89" i="49"/>
  <c r="O89" i="49"/>
  <c r="M98" i="49"/>
  <c r="O98" i="49"/>
  <c r="L98" i="49"/>
  <c r="L139" i="49"/>
  <c r="M116" i="49"/>
  <c r="O116" i="49"/>
  <c r="L116" i="49"/>
  <c r="J139" i="49"/>
  <c r="T139" i="49"/>
  <c r="O30" i="49"/>
  <c r="O50" i="49"/>
  <c r="M53" i="49"/>
  <c r="O53" i="49"/>
  <c r="I53" i="49"/>
  <c r="O54" i="49"/>
  <c r="L57" i="49"/>
  <c r="M66" i="49"/>
  <c r="O66" i="49"/>
  <c r="M75" i="49"/>
  <c r="O75" i="49"/>
  <c r="I75" i="49"/>
  <c r="M94" i="49"/>
  <c r="O94" i="49"/>
  <c r="W139" i="49"/>
  <c r="W649" i="49"/>
  <c r="X99" i="49"/>
  <c r="I103" i="49"/>
  <c r="M103" i="49"/>
  <c r="O103" i="49"/>
  <c r="M119" i="49"/>
  <c r="O119" i="49"/>
  <c r="L119" i="49"/>
  <c r="M224" i="49"/>
  <c r="O224" i="49"/>
  <c r="L224" i="49"/>
  <c r="O268" i="49"/>
  <c r="M40" i="49"/>
  <c r="O40" i="49"/>
  <c r="I40" i="49"/>
  <c r="M548" i="49"/>
  <c r="O548" i="49"/>
  <c r="I548" i="49"/>
  <c r="U139" i="49"/>
  <c r="O33" i="49"/>
  <c r="M47" i="49"/>
  <c r="O47" i="49"/>
  <c r="I47" i="49"/>
  <c r="O71" i="49"/>
  <c r="M104" i="49"/>
  <c r="O104" i="49"/>
  <c r="I398" i="49"/>
  <c r="M398" i="49"/>
  <c r="O398" i="49"/>
  <c r="M16" i="49"/>
  <c r="O16" i="49"/>
  <c r="O39" i="49"/>
  <c r="M61" i="49"/>
  <c r="O61" i="49"/>
  <c r="I61" i="49"/>
  <c r="M64" i="49"/>
  <c r="O64" i="49"/>
  <c r="I64" i="49"/>
  <c r="M68" i="49"/>
  <c r="O68" i="49"/>
  <c r="I68" i="49"/>
  <c r="O70" i="49"/>
  <c r="I73" i="49"/>
  <c r="M73" i="49"/>
  <c r="O73" i="49"/>
  <c r="M82" i="49"/>
  <c r="O82" i="49"/>
  <c r="I82" i="49"/>
  <c r="M85" i="49"/>
  <c r="O85" i="49"/>
  <c r="I85" i="49"/>
  <c r="O97" i="49"/>
  <c r="N100" i="49"/>
  <c r="N139" i="49"/>
  <c r="L100" i="49"/>
  <c r="M114" i="49"/>
  <c r="O114" i="49"/>
  <c r="I114" i="49"/>
  <c r="M115" i="49"/>
  <c r="O115" i="49"/>
  <c r="L115" i="49"/>
  <c r="M138" i="49"/>
  <c r="O138" i="49"/>
  <c r="L138" i="49"/>
  <c r="M177" i="49"/>
  <c r="O177" i="49"/>
  <c r="L177" i="49"/>
  <c r="O545" i="49"/>
  <c r="P139" i="49"/>
  <c r="M31" i="49"/>
  <c r="O31" i="49"/>
  <c r="I31" i="49"/>
  <c r="I58" i="49"/>
  <c r="M58" i="49"/>
  <c r="O58" i="49"/>
  <c r="M78" i="49"/>
  <c r="O78" i="49"/>
  <c r="I78" i="49"/>
  <c r="I99" i="49"/>
  <c r="M99" i="49"/>
  <c r="O99" i="49"/>
  <c r="I102" i="49"/>
  <c r="M102" i="49"/>
  <c r="O102" i="49"/>
  <c r="I117" i="49"/>
  <c r="M117" i="49"/>
  <c r="O117" i="49"/>
  <c r="I192" i="49"/>
  <c r="O192" i="49"/>
  <c r="M192" i="49"/>
  <c r="M203" i="49"/>
  <c r="O203" i="49"/>
  <c r="M221" i="49"/>
  <c r="O221" i="49"/>
  <c r="L221" i="49"/>
  <c r="I248" i="49"/>
  <c r="M248" i="49"/>
  <c r="O248" i="49"/>
  <c r="M256" i="49"/>
  <c r="O256" i="49"/>
  <c r="I256" i="49"/>
  <c r="M269" i="49"/>
  <c r="O269" i="49"/>
  <c r="L269" i="49"/>
  <c r="I272" i="49"/>
  <c r="M272" i="49"/>
  <c r="O272" i="49"/>
  <c r="I324" i="49"/>
  <c r="N324" i="49"/>
  <c r="I112" i="49"/>
  <c r="H139" i="49"/>
  <c r="J207" i="49"/>
  <c r="H207" i="49"/>
  <c r="I157" i="49"/>
  <c r="L182" i="49"/>
  <c r="O186" i="49"/>
  <c r="N196" i="49"/>
  <c r="O196" i="49"/>
  <c r="O205" i="49"/>
  <c r="M212" i="49"/>
  <c r="O212" i="49"/>
  <c r="M218" i="49"/>
  <c r="O218" i="49"/>
  <c r="L218" i="49"/>
  <c r="L360" i="49"/>
  <c r="I226" i="49"/>
  <c r="M251" i="49"/>
  <c r="O251" i="49"/>
  <c r="O265" i="49"/>
  <c r="O274" i="49"/>
  <c r="M295" i="49"/>
  <c r="O295" i="49"/>
  <c r="I295" i="49"/>
  <c r="O297" i="49"/>
  <c r="L321" i="49"/>
  <c r="M142" i="49"/>
  <c r="M176" i="49"/>
  <c r="O176" i="49"/>
  <c r="M178" i="49"/>
  <c r="O178" i="49"/>
  <c r="O180" i="49"/>
  <c r="T360" i="49"/>
  <c r="M220" i="49"/>
  <c r="O220" i="49"/>
  <c r="L220" i="49"/>
  <c r="M250" i="49"/>
  <c r="O250" i="49"/>
  <c r="M258" i="49"/>
  <c r="O258" i="49"/>
  <c r="I349" i="49"/>
  <c r="M349" i="49"/>
  <c r="O349" i="49"/>
  <c r="I151" i="49"/>
  <c r="I207" i="49"/>
  <c r="I161" i="49"/>
  <c r="I164" i="49"/>
  <c r="I165" i="49"/>
  <c r="U360" i="49"/>
  <c r="L223" i="49"/>
  <c r="M271" i="49"/>
  <c r="O271" i="49"/>
  <c r="L271" i="49"/>
  <c r="N315" i="49"/>
  <c r="O315" i="49"/>
  <c r="I315" i="49"/>
  <c r="M318" i="49"/>
  <c r="O318" i="49"/>
  <c r="I318" i="49"/>
  <c r="K207" i="49"/>
  <c r="P360" i="49"/>
  <c r="M257" i="49"/>
  <c r="O257" i="49"/>
  <c r="I257" i="49"/>
  <c r="H360" i="49"/>
  <c r="N267" i="49"/>
  <c r="O267" i="49"/>
  <c r="M293" i="49"/>
  <c r="O293" i="49"/>
  <c r="I293" i="49"/>
  <c r="N308" i="49"/>
  <c r="O308" i="49"/>
  <c r="I308" i="49"/>
  <c r="I335" i="49"/>
  <c r="M335" i="49"/>
  <c r="O335" i="49"/>
  <c r="O336" i="49"/>
  <c r="L125" i="49"/>
  <c r="L134" i="49"/>
  <c r="L135" i="49"/>
  <c r="P207" i="49"/>
  <c r="T207" i="49"/>
  <c r="M163" i="49"/>
  <c r="O163" i="49"/>
  <c r="M170" i="49"/>
  <c r="O170" i="49"/>
  <c r="M173" i="49"/>
  <c r="O173" i="49"/>
  <c r="N197" i="49"/>
  <c r="O197" i="49"/>
  <c r="M199" i="49"/>
  <c r="O199" i="49"/>
  <c r="I212" i="49"/>
  <c r="M219" i="49"/>
  <c r="O219" i="49"/>
  <c r="L219" i="49"/>
  <c r="L228" i="49"/>
  <c r="L262" i="49"/>
  <c r="I267" i="49"/>
  <c r="I268" i="49"/>
  <c r="N268" i="49"/>
  <c r="O285" i="49"/>
  <c r="L289" i="49"/>
  <c r="I325" i="49"/>
  <c r="I404" i="49"/>
  <c r="G404" i="49"/>
  <c r="G649" i="49"/>
  <c r="M366" i="49"/>
  <c r="O366" i="49"/>
  <c r="I366" i="49"/>
  <c r="X207" i="49"/>
  <c r="N153" i="49"/>
  <c r="O153" i="49"/>
  <c r="U207" i="49"/>
  <c r="N174" i="49"/>
  <c r="O174" i="49"/>
  <c r="M179" i="49"/>
  <c r="O179" i="49"/>
  <c r="M185" i="49"/>
  <c r="O185" i="49"/>
  <c r="O191" i="49"/>
  <c r="X360" i="49"/>
  <c r="O235" i="49"/>
  <c r="L242" i="49"/>
  <c r="M242" i="49"/>
  <c r="O242" i="49"/>
  <c r="M252" i="49"/>
  <c r="O252" i="49"/>
  <c r="M307" i="49"/>
  <c r="O307" i="49"/>
  <c r="I307" i="49"/>
  <c r="L200" i="49"/>
  <c r="I284" i="49"/>
  <c r="I285" i="49"/>
  <c r="I299" i="49"/>
  <c r="I300" i="49"/>
  <c r="N310" i="49"/>
  <c r="O310" i="49"/>
  <c r="O317" i="49"/>
  <c r="O323" i="49"/>
  <c r="I328" i="49"/>
  <c r="I336" i="49"/>
  <c r="N336" i="49"/>
  <c r="M337" i="49"/>
  <c r="O337" i="49"/>
  <c r="M344" i="49"/>
  <c r="O344" i="49"/>
  <c r="N386" i="49"/>
  <c r="O386" i="49"/>
  <c r="H404" i="49"/>
  <c r="I387" i="49"/>
  <c r="O397" i="49"/>
  <c r="O411" i="49"/>
  <c r="M497" i="49"/>
  <c r="O497" i="49"/>
  <c r="I497" i="49"/>
  <c r="O210" i="49"/>
  <c r="K360" i="49"/>
  <c r="K649" i="49"/>
  <c r="N309" i="49"/>
  <c r="O309" i="49"/>
  <c r="M343" i="49"/>
  <c r="O343" i="49"/>
  <c r="M351" i="49"/>
  <c r="O351" i="49"/>
  <c r="M373" i="49"/>
  <c r="O373" i="49"/>
  <c r="M395" i="49"/>
  <c r="O395" i="49"/>
  <c r="M396" i="49"/>
  <c r="O396" i="49"/>
  <c r="M439" i="49"/>
  <c r="O439" i="49"/>
  <c r="I439" i="49"/>
  <c r="M448" i="49"/>
  <c r="O448" i="49"/>
  <c r="L448" i="49"/>
  <c r="M451" i="49"/>
  <c r="O451" i="49"/>
  <c r="L451" i="49"/>
  <c r="M459" i="49"/>
  <c r="O459" i="49"/>
  <c r="I459" i="49"/>
  <c r="M461" i="49"/>
  <c r="O461" i="49"/>
  <c r="I461" i="49"/>
  <c r="M441" i="49"/>
  <c r="O441" i="49"/>
  <c r="I441" i="49"/>
  <c r="J360" i="49"/>
  <c r="N275" i="49"/>
  <c r="O275" i="49"/>
  <c r="N307" i="49"/>
  <c r="M331" i="49"/>
  <c r="O331" i="49"/>
  <c r="L331" i="49"/>
  <c r="O363" i="49"/>
  <c r="I453" i="49"/>
  <c r="N313" i="49"/>
  <c r="O313" i="49"/>
  <c r="O320" i="49"/>
  <c r="O326" i="49"/>
  <c r="O332" i="49"/>
  <c r="L333" i="49"/>
  <c r="L376" i="49"/>
  <c r="L404" i="49"/>
  <c r="M391" i="49"/>
  <c r="O391" i="49"/>
  <c r="L391" i="49"/>
  <c r="I397" i="49"/>
  <c r="N397" i="49"/>
  <c r="M460" i="49"/>
  <c r="O460" i="49"/>
  <c r="I460" i="49"/>
  <c r="O325" i="49"/>
  <c r="M330" i="49"/>
  <c r="O330" i="49"/>
  <c r="L330" i="49"/>
  <c r="X404" i="49"/>
  <c r="O426" i="49"/>
  <c r="M452" i="49"/>
  <c r="O452" i="49"/>
  <c r="L452" i="49"/>
  <c r="L302" i="49"/>
  <c r="O324" i="49"/>
  <c r="I329" i="49"/>
  <c r="P404" i="49"/>
  <c r="I374" i="49"/>
  <c r="M437" i="49"/>
  <c r="O437" i="49"/>
  <c r="L437" i="49"/>
  <c r="L453" i="49"/>
  <c r="L399" i="49"/>
  <c r="X408" i="49"/>
  <c r="X423" i="49"/>
  <c r="L411" i="49"/>
  <c r="L423" i="49"/>
  <c r="L413" i="49"/>
  <c r="M429" i="49"/>
  <c r="O429" i="49"/>
  <c r="I450" i="49"/>
  <c r="X450" i="49"/>
  <c r="X453" i="49"/>
  <c r="X502" i="49"/>
  <c r="I458" i="49"/>
  <c r="I502" i="49"/>
  <c r="U502" i="49"/>
  <c r="M469" i="49"/>
  <c r="O469" i="49"/>
  <c r="I469" i="49"/>
  <c r="O472" i="49"/>
  <c r="L480" i="49"/>
  <c r="O492" i="49"/>
  <c r="O508" i="49"/>
  <c r="O567" i="49"/>
  <c r="O586" i="49"/>
  <c r="O605" i="49"/>
  <c r="M605" i="49"/>
  <c r="O597" i="49"/>
  <c r="M407" i="49"/>
  <c r="G423" i="49"/>
  <c r="G502" i="49"/>
  <c r="X458" i="49"/>
  <c r="M477" i="49"/>
  <c r="O477" i="49"/>
  <c r="I477" i="49"/>
  <c r="M479" i="49"/>
  <c r="O479" i="49"/>
  <c r="M486" i="49"/>
  <c r="O486" i="49"/>
  <c r="I486" i="49"/>
  <c r="O494" i="49"/>
  <c r="M510" i="49"/>
  <c r="O510" i="49"/>
  <c r="J542" i="49"/>
  <c r="L510" i="49"/>
  <c r="L542" i="49"/>
  <c r="L583" i="49"/>
  <c r="N605" i="49"/>
  <c r="G627" i="49"/>
  <c r="M618" i="49"/>
  <c r="I618" i="49"/>
  <c r="I627" i="49"/>
  <c r="J502" i="49"/>
  <c r="M468" i="49"/>
  <c r="O468" i="49"/>
  <c r="I468" i="49"/>
  <c r="O474" i="49"/>
  <c r="M488" i="49"/>
  <c r="O488" i="49"/>
  <c r="I488" i="49"/>
  <c r="N583" i="49"/>
  <c r="U583" i="49"/>
  <c r="K583" i="49"/>
  <c r="L575" i="49"/>
  <c r="T605" i="49"/>
  <c r="X605" i="49"/>
  <c r="M632" i="49"/>
  <c r="O630" i="49"/>
  <c r="O632" i="49"/>
  <c r="M635" i="49"/>
  <c r="I410" i="49"/>
  <c r="I423" i="49"/>
  <c r="L447" i="49"/>
  <c r="L456" i="49"/>
  <c r="L502" i="49"/>
  <c r="I474" i="49"/>
  <c r="I475" i="49"/>
  <c r="M485" i="49"/>
  <c r="O485" i="49"/>
  <c r="M490" i="49"/>
  <c r="O490" i="49"/>
  <c r="I490" i="49"/>
  <c r="O493" i="49"/>
  <c r="N542" i="49"/>
  <c r="M511" i="49"/>
  <c r="O511" i="49"/>
  <c r="I511" i="49"/>
  <c r="G542" i="49"/>
  <c r="T542" i="49"/>
  <c r="X583" i="49"/>
  <c r="J638" i="49"/>
  <c r="L635" i="49"/>
  <c r="L638" i="49"/>
  <c r="J453" i="49"/>
  <c r="M456" i="49"/>
  <c r="M471" i="49"/>
  <c r="O471" i="49"/>
  <c r="M473" i="49"/>
  <c r="O473" i="49"/>
  <c r="M476" i="49"/>
  <c r="O476" i="49"/>
  <c r="L476" i="49"/>
  <c r="M481" i="49"/>
  <c r="O481" i="49"/>
  <c r="L481" i="49"/>
  <c r="O505" i="49"/>
  <c r="O514" i="49"/>
  <c r="M534" i="49"/>
  <c r="O534" i="49"/>
  <c r="I534" i="49"/>
  <c r="M547" i="49"/>
  <c r="O547" i="49"/>
  <c r="O556" i="49"/>
  <c r="O601" i="49"/>
  <c r="M610" i="49"/>
  <c r="M614" i="49"/>
  <c r="G615" i="49"/>
  <c r="I614" i="49"/>
  <c r="M642" i="49"/>
  <c r="O642" i="49"/>
  <c r="O643" i="49"/>
  <c r="L642" i="49"/>
  <c r="L643" i="49"/>
  <c r="N502" i="49"/>
  <c r="X542" i="49"/>
  <c r="M526" i="49"/>
  <c r="O526" i="49"/>
  <c r="I526" i="49"/>
  <c r="M576" i="49"/>
  <c r="O576" i="49"/>
  <c r="M643" i="49"/>
  <c r="M466" i="49"/>
  <c r="O466" i="49"/>
  <c r="I466" i="49"/>
  <c r="M483" i="49"/>
  <c r="O483" i="49"/>
  <c r="L483" i="49"/>
  <c r="M484" i="49"/>
  <c r="O484" i="49"/>
  <c r="M489" i="49"/>
  <c r="O489" i="49"/>
  <c r="I489" i="49"/>
  <c r="M554" i="49"/>
  <c r="O554" i="49"/>
  <c r="I554" i="49"/>
  <c r="M589" i="49"/>
  <c r="O589" i="49"/>
  <c r="I589" i="49"/>
  <c r="I605" i="49"/>
  <c r="I615" i="49"/>
  <c r="G583" i="49"/>
  <c r="G638" i="49"/>
  <c r="L546" i="49"/>
  <c r="I547" i="49"/>
  <c r="M565" i="49"/>
  <c r="O565" i="49"/>
  <c r="M568" i="49"/>
  <c r="O568" i="49"/>
  <c r="M569" i="49"/>
  <c r="O569" i="49"/>
  <c r="M570" i="49"/>
  <c r="O570" i="49"/>
  <c r="M573" i="49"/>
  <c r="O573" i="49"/>
  <c r="I575" i="49"/>
  <c r="I576" i="49"/>
  <c r="H583" i="49"/>
  <c r="I594" i="49"/>
  <c r="I604" i="49"/>
  <c r="I635" i="49"/>
  <c r="I637" i="49"/>
  <c r="J632" i="49"/>
  <c r="L491" i="49"/>
  <c r="L492" i="49"/>
  <c r="L630" i="49"/>
  <c r="L632" i="49"/>
  <c r="N649" i="49"/>
  <c r="L649" i="49"/>
  <c r="N360" i="49"/>
  <c r="M207" i="49"/>
  <c r="O142" i="49"/>
  <c r="O207" i="49"/>
  <c r="M583" i="49"/>
  <c r="J649" i="49"/>
  <c r="X649" i="49"/>
  <c r="I542" i="49"/>
  <c r="N404" i="49"/>
  <c r="O614" i="49"/>
  <c r="O615" i="49"/>
  <c r="M615" i="49"/>
  <c r="O542" i="49"/>
  <c r="O360" i="49"/>
  <c r="I638" i="49"/>
  <c r="N207" i="49"/>
  <c r="H649" i="49"/>
  <c r="O100" i="49"/>
  <c r="O139" i="49"/>
  <c r="O649" i="49"/>
  <c r="M638" i="49"/>
  <c r="O635" i="49"/>
  <c r="O638" i="49"/>
  <c r="O404" i="49"/>
  <c r="P649" i="49"/>
  <c r="M139" i="49"/>
  <c r="M649" i="49"/>
  <c r="U649" i="49"/>
  <c r="M502" i="49"/>
  <c r="O456" i="49"/>
  <c r="O502" i="49"/>
  <c r="M453" i="49"/>
  <c r="M404" i="49"/>
  <c r="I360" i="49"/>
  <c r="I583" i="49"/>
  <c r="I649" i="49"/>
  <c r="M542" i="49"/>
  <c r="O618" i="49"/>
  <c r="O627" i="49"/>
  <c r="M627" i="49"/>
  <c r="M423" i="49"/>
  <c r="O407" i="49"/>
  <c r="O423" i="49"/>
  <c r="O453" i="49"/>
  <c r="M360" i="49"/>
  <c r="O583" i="49"/>
  <c r="T649" i="49"/>
  <c r="F37" i="29"/>
  <c r="D56" i="29"/>
  <c r="D55" i="29"/>
  <c r="D54" i="29"/>
  <c r="D53" i="29"/>
  <c r="D52" i="29"/>
  <c r="D51" i="29"/>
  <c r="D50" i="29"/>
  <c r="D49" i="29"/>
  <c r="D48" i="29"/>
  <c r="D47" i="29"/>
  <c r="D46" i="29"/>
  <c r="D45" i="29"/>
  <c r="C96" i="25"/>
  <c r="D96" i="25"/>
  <c r="E96" i="25"/>
  <c r="F96" i="25"/>
  <c r="G96" i="25"/>
  <c r="H96" i="25"/>
  <c r="I96" i="25"/>
  <c r="J96" i="25"/>
  <c r="L43" i="25"/>
  <c r="K43" i="25"/>
  <c r="G6" i="33"/>
  <c r="F45" i="20"/>
  <c r="F32" i="20"/>
  <c r="C24" i="1"/>
  <c r="E19" i="7"/>
  <c r="D24" i="1"/>
  <c r="E20" i="7"/>
  <c r="E13" i="1"/>
  <c r="D9" i="29"/>
  <c r="J9" i="29"/>
  <c r="D10" i="29"/>
  <c r="J10" i="29"/>
  <c r="D11" i="29"/>
  <c r="J11" i="29"/>
  <c r="D12" i="29"/>
  <c r="J12" i="29"/>
  <c r="D13" i="29"/>
  <c r="D14" i="29"/>
  <c r="J14" i="29"/>
  <c r="D15" i="29"/>
  <c r="J15" i="29"/>
  <c r="D16" i="29"/>
  <c r="J16" i="29"/>
  <c r="D17" i="29"/>
  <c r="J17" i="29"/>
  <c r="D22" i="29"/>
  <c r="J22" i="29"/>
  <c r="D23" i="29"/>
  <c r="D24" i="29"/>
  <c r="D25" i="29"/>
  <c r="J25" i="29"/>
  <c r="D26" i="29"/>
  <c r="J26" i="29"/>
  <c r="D27" i="29"/>
  <c r="J27" i="29"/>
  <c r="D28" i="29"/>
  <c r="D29" i="29"/>
  <c r="J29" i="29"/>
  <c r="D30" i="29"/>
  <c r="D35" i="29"/>
  <c r="J35" i="29"/>
  <c r="D36" i="29"/>
  <c r="D37" i="29"/>
  <c r="D38" i="29"/>
  <c r="J38" i="29"/>
  <c r="D39" i="29"/>
  <c r="J39" i="29"/>
  <c r="D40" i="29"/>
  <c r="D41" i="29"/>
  <c r="D42" i="29"/>
  <c r="D43" i="29"/>
  <c r="J43" i="29"/>
  <c r="D45" i="20"/>
  <c r="D19" i="20"/>
  <c r="G46" i="33"/>
  <c r="H57" i="33"/>
  <c r="G32" i="33"/>
  <c r="H31" i="33"/>
  <c r="G8" i="33"/>
  <c r="F18" i="33"/>
  <c r="D46" i="20"/>
  <c r="H45" i="20"/>
  <c r="C57" i="20"/>
  <c r="D34" i="20"/>
  <c r="H32" i="20"/>
  <c r="G32" i="20"/>
  <c r="H21" i="29"/>
  <c r="K21" i="29"/>
  <c r="F21" i="29"/>
  <c r="I21" i="29"/>
  <c r="H8" i="29"/>
  <c r="H7" i="29"/>
  <c r="K7" i="29"/>
  <c r="C18" i="20"/>
  <c r="D6" i="20"/>
  <c r="G47" i="33"/>
  <c r="G33" i="33"/>
  <c r="G21" i="33"/>
  <c r="G19" i="33"/>
  <c r="C55" i="33"/>
  <c r="E53" i="33"/>
  <c r="K53" i="33"/>
  <c r="E52" i="33"/>
  <c r="C52" i="33"/>
  <c r="C51" i="33"/>
  <c r="I51" i="33"/>
  <c r="C50" i="33"/>
  <c r="E49" i="33"/>
  <c r="C47" i="33"/>
  <c r="C57" i="33"/>
  <c r="E45" i="33"/>
  <c r="D45" i="33"/>
  <c r="E43" i="33"/>
  <c r="K43" i="33"/>
  <c r="C41" i="33"/>
  <c r="I41" i="33"/>
  <c r="E40" i="33"/>
  <c r="K40" i="33"/>
  <c r="E36" i="33"/>
  <c r="K36" i="33"/>
  <c r="E35" i="33"/>
  <c r="K35" i="33"/>
  <c r="C33" i="33"/>
  <c r="I33" i="33"/>
  <c r="E32" i="33"/>
  <c r="K32" i="33"/>
  <c r="C29" i="33"/>
  <c r="I29" i="33"/>
  <c r="E27" i="33"/>
  <c r="E26" i="33"/>
  <c r="K26" i="33"/>
  <c r="E23" i="33"/>
  <c r="K23" i="33"/>
  <c r="C21" i="33"/>
  <c r="I21" i="33"/>
  <c r="E19" i="33"/>
  <c r="E7" i="33"/>
  <c r="E8" i="33"/>
  <c r="K8" i="33"/>
  <c r="C12" i="33"/>
  <c r="I12" i="33"/>
  <c r="C13" i="33"/>
  <c r="I13" i="33"/>
  <c r="E46" i="33"/>
  <c r="D46" i="33"/>
  <c r="E47" i="33"/>
  <c r="K47" i="33"/>
  <c r="E48" i="33"/>
  <c r="E50" i="33"/>
  <c r="D50" i="33"/>
  <c r="J50" i="33"/>
  <c r="E56" i="33"/>
  <c r="C46" i="33"/>
  <c r="C49" i="33"/>
  <c r="I49" i="33"/>
  <c r="C53" i="33"/>
  <c r="I53" i="33"/>
  <c r="C54" i="33"/>
  <c r="I54" i="33"/>
  <c r="C56" i="33"/>
  <c r="D56" i="33"/>
  <c r="J56" i="33"/>
  <c r="C45" i="33"/>
  <c r="I45" i="33"/>
  <c r="E34" i="33"/>
  <c r="K34" i="33"/>
  <c r="E37" i="33"/>
  <c r="K37" i="33"/>
  <c r="E39" i="33"/>
  <c r="K39" i="33"/>
  <c r="J40" i="29"/>
  <c r="C44" i="29"/>
  <c r="C35" i="33"/>
  <c r="I35" i="33"/>
  <c r="C38" i="33"/>
  <c r="C39" i="33"/>
  <c r="I39" i="33"/>
  <c r="C40" i="33"/>
  <c r="C43" i="33"/>
  <c r="I43" i="33"/>
  <c r="E21" i="33"/>
  <c r="K21" i="33"/>
  <c r="E22" i="33"/>
  <c r="D22" i="33"/>
  <c r="J22" i="33"/>
  <c r="E24" i="33"/>
  <c r="D24" i="33"/>
  <c r="J24" i="33"/>
  <c r="K24" i="33"/>
  <c r="E31" i="29"/>
  <c r="E29" i="33"/>
  <c r="K29" i="33"/>
  <c r="E30" i="33"/>
  <c r="K30" i="33"/>
  <c r="C20" i="33"/>
  <c r="I20" i="33"/>
  <c r="C23" i="33"/>
  <c r="I23" i="33"/>
  <c r="C24" i="33"/>
  <c r="C27" i="33"/>
  <c r="D27" i="33"/>
  <c r="J27" i="33"/>
  <c r="C28" i="33"/>
  <c r="I28" i="33"/>
  <c r="D28" i="33"/>
  <c r="J28" i="33"/>
  <c r="D7" i="29"/>
  <c r="E9" i="33"/>
  <c r="K9" i="33"/>
  <c r="E10" i="33"/>
  <c r="E11" i="33"/>
  <c r="K11" i="33"/>
  <c r="E13" i="33"/>
  <c r="D13" i="33"/>
  <c r="J13" i="33"/>
  <c r="E17" i="33"/>
  <c r="K17" i="33"/>
  <c r="C7" i="33"/>
  <c r="I7" i="33"/>
  <c r="C8" i="33"/>
  <c r="C10" i="33"/>
  <c r="C14" i="33"/>
  <c r="I14" i="33"/>
  <c r="C15" i="33"/>
  <c r="C16" i="33"/>
  <c r="I16" i="33"/>
  <c r="E6" i="33"/>
  <c r="K6" i="33"/>
  <c r="D6" i="29"/>
  <c r="H33" i="29"/>
  <c r="K33" i="29"/>
  <c r="E44" i="20"/>
  <c r="F47" i="29"/>
  <c r="I47" i="29"/>
  <c r="F19" i="29"/>
  <c r="I19" i="29"/>
  <c r="D8" i="20"/>
  <c r="F7" i="29"/>
  <c r="G7" i="29"/>
  <c r="F8" i="29"/>
  <c r="G8" i="29"/>
  <c r="E21" i="1"/>
  <c r="E22" i="1"/>
  <c r="E15" i="7"/>
  <c r="K10" i="33"/>
  <c r="F44" i="33"/>
  <c r="D8" i="29"/>
  <c r="F9" i="29"/>
  <c r="G9" i="29"/>
  <c r="H9" i="29"/>
  <c r="F10" i="29"/>
  <c r="I10" i="29"/>
  <c r="H10" i="29"/>
  <c r="K10" i="29"/>
  <c r="F11" i="29"/>
  <c r="G11" i="29"/>
  <c r="I11" i="29"/>
  <c r="H11" i="29"/>
  <c r="K11" i="29"/>
  <c r="F12" i="29"/>
  <c r="H12" i="29"/>
  <c r="K12" i="29"/>
  <c r="F13" i="29"/>
  <c r="G13" i="29"/>
  <c r="J13" i="29"/>
  <c r="H13" i="29"/>
  <c r="K13" i="29"/>
  <c r="F14" i="29"/>
  <c r="H14" i="29"/>
  <c r="K14" i="29"/>
  <c r="F15" i="29"/>
  <c r="G15" i="29"/>
  <c r="H15" i="29"/>
  <c r="K15" i="29"/>
  <c r="F16" i="29"/>
  <c r="H16" i="29"/>
  <c r="K16" i="29"/>
  <c r="F17" i="29"/>
  <c r="G17" i="29"/>
  <c r="H17" i="29"/>
  <c r="H19" i="29"/>
  <c r="F20" i="29"/>
  <c r="D21" i="29"/>
  <c r="J21" i="29"/>
  <c r="F22" i="29"/>
  <c r="H22" i="29"/>
  <c r="K22" i="29"/>
  <c r="J23" i="29"/>
  <c r="F23" i="29"/>
  <c r="H23" i="29"/>
  <c r="K23" i="29"/>
  <c r="I23" i="29"/>
  <c r="F24" i="29"/>
  <c r="I24" i="29"/>
  <c r="H24" i="29"/>
  <c r="K24" i="29"/>
  <c r="F25" i="29"/>
  <c r="H25" i="29"/>
  <c r="F26" i="29"/>
  <c r="G26" i="29"/>
  <c r="H26" i="29"/>
  <c r="K26" i="29"/>
  <c r="F27" i="29"/>
  <c r="H27" i="29"/>
  <c r="K27" i="29"/>
  <c r="F28" i="29"/>
  <c r="G28" i="29"/>
  <c r="J28" i="29"/>
  <c r="H28" i="29"/>
  <c r="F29" i="29"/>
  <c r="G29" i="29"/>
  <c r="H29" i="29"/>
  <c r="F30" i="29"/>
  <c r="H30" i="29"/>
  <c r="K30" i="29"/>
  <c r="C31" i="29"/>
  <c r="D31" i="29"/>
  <c r="J31" i="29"/>
  <c r="F33" i="29"/>
  <c r="F34" i="29"/>
  <c r="F44" i="29"/>
  <c r="F35" i="29"/>
  <c r="G35" i="29"/>
  <c r="H35" i="29"/>
  <c r="K35" i="29"/>
  <c r="I35" i="29"/>
  <c r="F36" i="29"/>
  <c r="G36" i="29"/>
  <c r="H36" i="29"/>
  <c r="K36" i="29"/>
  <c r="H37" i="29"/>
  <c r="K37" i="29"/>
  <c r="F38" i="29"/>
  <c r="I38" i="29"/>
  <c r="G38" i="29"/>
  <c r="H38" i="29"/>
  <c r="F39" i="29"/>
  <c r="G39" i="29"/>
  <c r="H39" i="29"/>
  <c r="I39" i="29"/>
  <c r="K39" i="29"/>
  <c r="F40" i="29"/>
  <c r="G40" i="29"/>
  <c r="H40" i="29"/>
  <c r="K40" i="29"/>
  <c r="F41" i="29"/>
  <c r="H41" i="29"/>
  <c r="K41" i="29"/>
  <c r="F42" i="29"/>
  <c r="H42" i="29"/>
  <c r="F43" i="29"/>
  <c r="I43" i="29"/>
  <c r="H43" i="29"/>
  <c r="K43" i="29"/>
  <c r="F45" i="29"/>
  <c r="I45" i="29"/>
  <c r="H47" i="29"/>
  <c r="K47" i="29"/>
  <c r="F48" i="29"/>
  <c r="G48" i="29"/>
  <c r="H48" i="29"/>
  <c r="K48" i="29"/>
  <c r="J48" i="29"/>
  <c r="F49" i="29"/>
  <c r="G49" i="29"/>
  <c r="J49" i="29"/>
  <c r="H49" i="29"/>
  <c r="K49" i="29"/>
  <c r="I49" i="29"/>
  <c r="F50" i="29"/>
  <c r="H50" i="29"/>
  <c r="K50" i="29"/>
  <c r="F51" i="29"/>
  <c r="G51" i="29"/>
  <c r="J51" i="29"/>
  <c r="H51" i="29"/>
  <c r="F52" i="29"/>
  <c r="I52" i="29"/>
  <c r="H52" i="29"/>
  <c r="K52" i="29"/>
  <c r="F53" i="29"/>
  <c r="I53" i="29"/>
  <c r="H53" i="29"/>
  <c r="K53" i="29"/>
  <c r="F54" i="29"/>
  <c r="I54" i="29"/>
  <c r="H54" i="29"/>
  <c r="F55" i="29"/>
  <c r="H55" i="29"/>
  <c r="K55" i="29"/>
  <c r="F56" i="29"/>
  <c r="H56" i="29"/>
  <c r="K56" i="29"/>
  <c r="F6" i="20"/>
  <c r="D7" i="20"/>
  <c r="E18" i="20"/>
  <c r="H19" i="20"/>
  <c r="D33" i="20"/>
  <c r="K8" i="25"/>
  <c r="L8" i="25"/>
  <c r="K9" i="25"/>
  <c r="L9" i="25"/>
  <c r="K10" i="25"/>
  <c r="L10" i="25"/>
  <c r="K11" i="25"/>
  <c r="L11" i="25"/>
  <c r="K12" i="25"/>
  <c r="L12" i="25"/>
  <c r="K13" i="25"/>
  <c r="L13" i="25"/>
  <c r="K14" i="25"/>
  <c r="L14" i="25"/>
  <c r="K15" i="25"/>
  <c r="L15" i="25"/>
  <c r="K16" i="25"/>
  <c r="L16" i="25"/>
  <c r="K17" i="25"/>
  <c r="L17" i="25"/>
  <c r="K18" i="25"/>
  <c r="L18" i="25"/>
  <c r="K19" i="25"/>
  <c r="L19" i="25"/>
  <c r="K20" i="25"/>
  <c r="L20" i="25"/>
  <c r="K21" i="25"/>
  <c r="L21" i="25"/>
  <c r="K22" i="25"/>
  <c r="L22" i="25"/>
  <c r="K23" i="25"/>
  <c r="L23" i="25"/>
  <c r="K24" i="25"/>
  <c r="L24" i="25"/>
  <c r="K25" i="25"/>
  <c r="L25" i="25"/>
  <c r="K26" i="25"/>
  <c r="L26" i="25"/>
  <c r="K27" i="25"/>
  <c r="L27" i="25"/>
  <c r="C28" i="25"/>
  <c r="D28" i="25"/>
  <c r="E28" i="25"/>
  <c r="F28" i="25"/>
  <c r="G28" i="25"/>
  <c r="H28" i="25"/>
  <c r="I28" i="25"/>
  <c r="J28" i="25"/>
  <c r="K29" i="25"/>
  <c r="L29" i="25"/>
  <c r="K30" i="25"/>
  <c r="L30" i="25"/>
  <c r="K31" i="25"/>
  <c r="L31" i="25"/>
  <c r="K32" i="25"/>
  <c r="L32" i="25"/>
  <c r="K33" i="25"/>
  <c r="L33" i="25"/>
  <c r="K34" i="25"/>
  <c r="L34" i="25"/>
  <c r="K35" i="25"/>
  <c r="L35" i="25"/>
  <c r="K36" i="25"/>
  <c r="L36" i="25"/>
  <c r="K37" i="25"/>
  <c r="L37" i="25"/>
  <c r="K38" i="25"/>
  <c r="L38" i="25"/>
  <c r="K39" i="25"/>
  <c r="L39" i="25"/>
  <c r="K40" i="25"/>
  <c r="L40" i="25"/>
  <c r="K41" i="25"/>
  <c r="L41" i="25"/>
  <c r="K42" i="25"/>
  <c r="L42" i="25"/>
  <c r="K44" i="25"/>
  <c r="L44" i="25"/>
  <c r="C45" i="25"/>
  <c r="D45" i="25"/>
  <c r="E45" i="25"/>
  <c r="F45" i="25"/>
  <c r="G45" i="25"/>
  <c r="H45" i="25"/>
  <c r="I45" i="25"/>
  <c r="J45" i="25"/>
  <c r="K46" i="25"/>
  <c r="L46" i="25"/>
  <c r="K47" i="25"/>
  <c r="L47" i="25"/>
  <c r="K48" i="25"/>
  <c r="L48" i="25"/>
  <c r="K49" i="25"/>
  <c r="L49" i="25"/>
  <c r="K50" i="25"/>
  <c r="L50" i="25"/>
  <c r="K51" i="25"/>
  <c r="L51" i="25"/>
  <c r="K52" i="25"/>
  <c r="L52" i="25"/>
  <c r="K53" i="25"/>
  <c r="L53" i="25"/>
  <c r="C54" i="25"/>
  <c r="D54" i="25"/>
  <c r="E54" i="25"/>
  <c r="F54" i="25"/>
  <c r="G54" i="25"/>
  <c r="H54" i="25"/>
  <c r="I54" i="25"/>
  <c r="J54" i="25"/>
  <c r="K55" i="25"/>
  <c r="L55" i="25"/>
  <c r="K56" i="25"/>
  <c r="L56" i="25"/>
  <c r="K57" i="25"/>
  <c r="L57" i="25"/>
  <c r="K58" i="25"/>
  <c r="L58" i="25"/>
  <c r="K59" i="25"/>
  <c r="L59" i="25"/>
  <c r="K60" i="25"/>
  <c r="L60" i="25"/>
  <c r="K61" i="25"/>
  <c r="L61" i="25"/>
  <c r="K62" i="25"/>
  <c r="L62" i="25"/>
  <c r="K63" i="25"/>
  <c r="L63" i="25"/>
  <c r="K64" i="25"/>
  <c r="L64" i="25"/>
  <c r="C65" i="25"/>
  <c r="D65" i="25"/>
  <c r="E65" i="25"/>
  <c r="F65" i="25"/>
  <c r="G65" i="25"/>
  <c r="H65" i="25"/>
  <c r="I65" i="25"/>
  <c r="J65" i="25"/>
  <c r="K66" i="25"/>
  <c r="L66" i="25"/>
  <c r="K67" i="25"/>
  <c r="L67" i="25"/>
  <c r="K68" i="25"/>
  <c r="L68" i="25"/>
  <c r="K69" i="25"/>
  <c r="L69" i="25"/>
  <c r="K70" i="25"/>
  <c r="L70" i="25"/>
  <c r="K71" i="25"/>
  <c r="L71" i="25"/>
  <c r="K72" i="25"/>
  <c r="L72" i="25"/>
  <c r="K73" i="25"/>
  <c r="L73" i="25"/>
  <c r="K74" i="25"/>
  <c r="L74" i="25"/>
  <c r="K75" i="25"/>
  <c r="L75" i="25"/>
  <c r="K76" i="25"/>
  <c r="L76" i="25"/>
  <c r="C77" i="25"/>
  <c r="D77" i="25"/>
  <c r="E77" i="25"/>
  <c r="F77" i="25"/>
  <c r="G77" i="25"/>
  <c r="H77" i="25"/>
  <c r="I77" i="25"/>
  <c r="J77" i="25"/>
  <c r="K78" i="25"/>
  <c r="L78" i="25"/>
  <c r="K79" i="25"/>
  <c r="L79" i="25"/>
  <c r="K80" i="25"/>
  <c r="L80" i="25"/>
  <c r="K81" i="25"/>
  <c r="L81" i="25"/>
  <c r="K82" i="25"/>
  <c r="L82" i="25"/>
  <c r="K83" i="25"/>
  <c r="L83" i="25"/>
  <c r="K84" i="25"/>
  <c r="L84" i="25"/>
  <c r="K85" i="25"/>
  <c r="L85" i="25"/>
  <c r="K86" i="25"/>
  <c r="L86" i="25"/>
  <c r="K87" i="25"/>
  <c r="L87" i="25"/>
  <c r="K88" i="25"/>
  <c r="L88" i="25"/>
  <c r="C89" i="25"/>
  <c r="D89" i="25"/>
  <c r="E89" i="25"/>
  <c r="F89" i="25"/>
  <c r="G89" i="25"/>
  <c r="H89" i="25"/>
  <c r="I89" i="25"/>
  <c r="J89" i="25"/>
  <c r="K90" i="25"/>
  <c r="L90" i="25"/>
  <c r="K91" i="25"/>
  <c r="L91" i="25"/>
  <c r="K92" i="25"/>
  <c r="L92" i="25"/>
  <c r="K93" i="25"/>
  <c r="L93" i="25"/>
  <c r="K94" i="25"/>
  <c r="L94" i="25"/>
  <c r="K95" i="25"/>
  <c r="L95" i="25"/>
  <c r="E11" i="1"/>
  <c r="E14" i="1"/>
  <c r="E15" i="1"/>
  <c r="E16" i="1"/>
  <c r="E17" i="1"/>
  <c r="E20" i="1"/>
  <c r="G23" i="29"/>
  <c r="K9" i="29"/>
  <c r="G50" i="29"/>
  <c r="J50" i="29"/>
  <c r="I50" i="29"/>
  <c r="G54" i="29"/>
  <c r="J54" i="29"/>
  <c r="G42" i="29"/>
  <c r="J42" i="29"/>
  <c r="G16" i="29"/>
  <c r="K17" i="29"/>
  <c r="I16" i="29"/>
  <c r="G53" i="29"/>
  <c r="J53" i="29"/>
  <c r="I40" i="29"/>
  <c r="G43" i="29"/>
  <c r="G30" i="29"/>
  <c r="I29" i="29"/>
  <c r="G22" i="29"/>
  <c r="G24" i="29"/>
  <c r="J24" i="29"/>
  <c r="G10" i="29"/>
  <c r="E18" i="1"/>
  <c r="E19" i="1"/>
  <c r="D47" i="20"/>
  <c r="F19" i="20"/>
  <c r="G19" i="20"/>
  <c r="D21" i="20"/>
  <c r="K25" i="29"/>
  <c r="C17" i="33"/>
  <c r="I17" i="33"/>
  <c r="F6" i="29"/>
  <c r="F18" i="29"/>
  <c r="H46" i="29"/>
  <c r="H57" i="29"/>
  <c r="E57" i="20"/>
  <c r="D57" i="20"/>
  <c r="C34" i="33"/>
  <c r="D34" i="33"/>
  <c r="J34" i="33"/>
  <c r="F32" i="29"/>
  <c r="I32" i="29"/>
  <c r="C44" i="20"/>
  <c r="D44" i="20"/>
  <c r="C18" i="29"/>
  <c r="C9" i="33"/>
  <c r="I9" i="33"/>
  <c r="J30" i="29"/>
  <c r="C30" i="33"/>
  <c r="I30" i="33"/>
  <c r="I30" i="29"/>
  <c r="C22" i="33"/>
  <c r="I22" i="29"/>
  <c r="E25" i="33"/>
  <c r="K25" i="33"/>
  <c r="I42" i="29"/>
  <c r="C42" i="33"/>
  <c r="I42" i="33"/>
  <c r="K38" i="29"/>
  <c r="E38" i="33"/>
  <c r="K38" i="33"/>
  <c r="C48" i="33"/>
  <c r="D48" i="33"/>
  <c r="J48" i="33"/>
  <c r="I48" i="29"/>
  <c r="C57" i="29"/>
  <c r="E51" i="33"/>
  <c r="K51" i="33"/>
  <c r="K51" i="29"/>
  <c r="D32" i="20"/>
  <c r="E12" i="33"/>
  <c r="I9" i="29"/>
  <c r="I17" i="29"/>
  <c r="H18" i="33"/>
  <c r="F46" i="29"/>
  <c r="I46" i="29"/>
  <c r="E57" i="29"/>
  <c r="C11" i="33"/>
  <c r="D34" i="29"/>
  <c r="J34" i="29"/>
  <c r="I13" i="29"/>
  <c r="H45" i="29"/>
  <c r="C25" i="33"/>
  <c r="I26" i="29"/>
  <c r="K29" i="29"/>
  <c r="E42" i="33"/>
  <c r="K42" i="29"/>
  <c r="E16" i="33"/>
  <c r="C26" i="33"/>
  <c r="I26" i="33"/>
  <c r="H34" i="29"/>
  <c r="K34" i="29"/>
  <c r="E18" i="29"/>
  <c r="E28" i="33"/>
  <c r="K28" i="33"/>
  <c r="K28" i="29"/>
  <c r="E20" i="33"/>
  <c r="E31" i="33"/>
  <c r="K20" i="33"/>
  <c r="D20" i="29"/>
  <c r="J20" i="29"/>
  <c r="C37" i="33"/>
  <c r="D37" i="33"/>
  <c r="J37" i="33"/>
  <c r="E41" i="33"/>
  <c r="K41" i="33"/>
  <c r="E44" i="29"/>
  <c r="E33" i="33"/>
  <c r="K33" i="33"/>
  <c r="D33" i="29"/>
  <c r="E54" i="33"/>
  <c r="K54" i="33"/>
  <c r="K54" i="29"/>
  <c r="E15" i="33"/>
  <c r="K15" i="33"/>
  <c r="D19" i="29"/>
  <c r="C19" i="33"/>
  <c r="C31" i="33"/>
  <c r="C32" i="33"/>
  <c r="C44" i="33"/>
  <c r="D32" i="29"/>
  <c r="J32" i="29"/>
  <c r="I36" i="29"/>
  <c r="J36" i="29"/>
  <c r="C36" i="33"/>
  <c r="D36" i="33"/>
  <c r="J36" i="33"/>
  <c r="I36" i="33"/>
  <c r="C6" i="33"/>
  <c r="E14" i="33"/>
  <c r="D14" i="33"/>
  <c r="J14" i="33"/>
  <c r="E55" i="33"/>
  <c r="K55" i="33"/>
  <c r="I46" i="33"/>
  <c r="F33" i="20"/>
  <c r="F34" i="20"/>
  <c r="D18" i="20"/>
  <c r="H6" i="29"/>
  <c r="H18" i="29"/>
  <c r="F57" i="33"/>
  <c r="F46" i="20"/>
  <c r="H32" i="29"/>
  <c r="K32" i="29"/>
  <c r="G45" i="33"/>
  <c r="H44" i="33"/>
  <c r="F31" i="33"/>
  <c r="G31" i="33"/>
  <c r="C31" i="20"/>
  <c r="G20" i="33"/>
  <c r="G34" i="33"/>
  <c r="H6" i="20"/>
  <c r="H7" i="20"/>
  <c r="H8" i="20"/>
  <c r="H9" i="20"/>
  <c r="H10" i="20"/>
  <c r="H11" i="20"/>
  <c r="H12" i="20"/>
  <c r="H13" i="20"/>
  <c r="H14" i="20"/>
  <c r="H15" i="20"/>
  <c r="H16" i="20"/>
  <c r="H17" i="20"/>
  <c r="H18" i="20"/>
  <c r="E31" i="20"/>
  <c r="E58" i="20"/>
  <c r="K45" i="33"/>
  <c r="G7" i="33"/>
  <c r="D20" i="20"/>
  <c r="H20" i="29"/>
  <c r="K20" i="29"/>
  <c r="K56" i="33"/>
  <c r="K50" i="33"/>
  <c r="D41" i="33"/>
  <c r="J41" i="33"/>
  <c r="D42" i="33"/>
  <c r="J42" i="33"/>
  <c r="H20" i="20"/>
  <c r="H21" i="20"/>
  <c r="H22" i="20"/>
  <c r="H23" i="20"/>
  <c r="H24" i="20"/>
  <c r="H25" i="20"/>
  <c r="H26" i="20"/>
  <c r="H27" i="20"/>
  <c r="H28" i="20"/>
  <c r="H29" i="20"/>
  <c r="H30" i="20"/>
  <c r="H31" i="20"/>
  <c r="K19" i="29"/>
  <c r="K8" i="29"/>
  <c r="K6" i="29"/>
  <c r="I33" i="29"/>
  <c r="I7" i="29"/>
  <c r="K49" i="33"/>
  <c r="D51" i="33"/>
  <c r="J51" i="33"/>
  <c r="I50" i="33"/>
  <c r="I55" i="33"/>
  <c r="K42" i="33"/>
  <c r="D33" i="33"/>
  <c r="J33" i="33"/>
  <c r="I19" i="33"/>
  <c r="K16" i="33"/>
  <c r="I56" i="29"/>
  <c r="G56" i="29"/>
  <c r="J56" i="29"/>
  <c r="I41" i="29"/>
  <c r="G41" i="29"/>
  <c r="J41" i="29"/>
  <c r="I10" i="33"/>
  <c r="G32" i="29"/>
  <c r="I55" i="29"/>
  <c r="G55" i="29"/>
  <c r="J55" i="29"/>
  <c r="G25" i="29"/>
  <c r="I25" i="29"/>
  <c r="I51" i="29"/>
  <c r="I32" i="33"/>
  <c r="G12" i="29"/>
  <c r="I12" i="29"/>
  <c r="D49" i="33"/>
  <c r="J49" i="33"/>
  <c r="I47" i="33"/>
  <c r="G33" i="29"/>
  <c r="J33" i="29"/>
  <c r="I6" i="29"/>
  <c r="I27" i="29"/>
  <c r="G27" i="29"/>
  <c r="I20" i="29"/>
  <c r="F31" i="29"/>
  <c r="K27" i="33"/>
  <c r="K12" i="33"/>
  <c r="I22" i="33"/>
  <c r="G37" i="29"/>
  <c r="I37" i="29"/>
  <c r="I28" i="29"/>
  <c r="I14" i="29"/>
  <c r="G14" i="29"/>
  <c r="K48" i="33"/>
  <c r="I15" i="29"/>
  <c r="K45" i="29"/>
  <c r="G52" i="29"/>
  <c r="J52" i="29"/>
  <c r="D39" i="33"/>
  <c r="J39" i="33"/>
  <c r="K52" i="33"/>
  <c r="D55" i="33"/>
  <c r="J55" i="33"/>
  <c r="D44" i="29"/>
  <c r="D35" i="33"/>
  <c r="J35" i="33"/>
  <c r="D23" i="33"/>
  <c r="J23" i="33"/>
  <c r="D29" i="33"/>
  <c r="J29" i="33"/>
  <c r="I25" i="33"/>
  <c r="I24" i="33"/>
  <c r="D25" i="33"/>
  <c r="J25" i="33"/>
  <c r="H58" i="33"/>
  <c r="H46" i="20"/>
  <c r="H47" i="20"/>
  <c r="H48" i="20"/>
  <c r="H49" i="20"/>
  <c r="H50" i="20"/>
  <c r="H51" i="20"/>
  <c r="H52" i="20"/>
  <c r="H53" i="20"/>
  <c r="H54" i="20"/>
  <c r="H55" i="20"/>
  <c r="H56" i="20"/>
  <c r="H57" i="20"/>
  <c r="H33" i="20"/>
  <c r="G33" i="20"/>
  <c r="H44" i="29"/>
  <c r="K44" i="29"/>
  <c r="H31" i="29"/>
  <c r="G21" i="29"/>
  <c r="G20" i="29"/>
  <c r="F47" i="20"/>
  <c r="F48" i="20"/>
  <c r="G45" i="29"/>
  <c r="J45" i="29"/>
  <c r="C58" i="20"/>
  <c r="G19" i="29"/>
  <c r="I8" i="29"/>
  <c r="B24" i="1"/>
  <c r="E18" i="7"/>
  <c r="E12" i="1"/>
  <c r="E24" i="1"/>
  <c r="E25" i="1"/>
  <c r="G46" i="20"/>
  <c r="K31" i="29"/>
  <c r="G31" i="29"/>
  <c r="E32" i="7"/>
  <c r="E34" i="7"/>
  <c r="G46" i="29"/>
  <c r="J46" i="29"/>
  <c r="K57" i="29"/>
  <c r="K46" i="29"/>
  <c r="G45" i="20"/>
  <c r="H34" i="20"/>
  <c r="H35" i="20"/>
  <c r="H36" i="20"/>
  <c r="H37" i="20"/>
  <c r="H38" i="20"/>
  <c r="H39" i="20"/>
  <c r="H40" i="20"/>
  <c r="H41" i="20"/>
  <c r="H42" i="20"/>
  <c r="H43" i="20"/>
  <c r="H44" i="20"/>
  <c r="H58" i="20"/>
  <c r="H58" i="29"/>
  <c r="D31" i="20"/>
  <c r="D58" i="20"/>
  <c r="G6" i="20"/>
  <c r="F49" i="20"/>
  <c r="G48" i="20"/>
  <c r="G47" i="20"/>
  <c r="G47" i="29"/>
  <c r="J47" i="29"/>
  <c r="F57" i="29"/>
  <c r="G57" i="29"/>
  <c r="I44" i="29"/>
  <c r="G44" i="29"/>
  <c r="J44" i="29"/>
  <c r="F35" i="20"/>
  <c r="G34" i="29"/>
  <c r="I34" i="29"/>
  <c r="J19" i="29"/>
  <c r="F20" i="20"/>
  <c r="G18" i="29"/>
  <c r="G6" i="29"/>
  <c r="F7" i="20"/>
  <c r="J7" i="29"/>
  <c r="J8" i="29"/>
  <c r="J6" i="29"/>
  <c r="K46" i="33"/>
  <c r="D57" i="29"/>
  <c r="J57" i="29"/>
  <c r="I52" i="33"/>
  <c r="D32" i="33"/>
  <c r="J32" i="33"/>
  <c r="I38" i="33"/>
  <c r="D38" i="33"/>
  <c r="J38" i="33"/>
  <c r="K19" i="33"/>
  <c r="D19" i="33"/>
  <c r="D21" i="33"/>
  <c r="J21" i="33"/>
  <c r="I31" i="33"/>
  <c r="I27" i="33"/>
  <c r="I31" i="29"/>
  <c r="D30" i="33"/>
  <c r="J30" i="33"/>
  <c r="D7" i="33"/>
  <c r="J7" i="33"/>
  <c r="D12" i="33"/>
  <c r="J12" i="33"/>
  <c r="D10" i="33"/>
  <c r="J10" i="33"/>
  <c r="D18" i="29"/>
  <c r="J18" i="29"/>
  <c r="D16" i="33"/>
  <c r="J16" i="33"/>
  <c r="K13" i="33"/>
  <c r="D11" i="33"/>
  <c r="J11" i="33"/>
  <c r="D8" i="33"/>
  <c r="J8" i="33"/>
  <c r="K14" i="33"/>
  <c r="K7" i="33"/>
  <c r="D17" i="33"/>
  <c r="J17" i="33"/>
  <c r="D6" i="33"/>
  <c r="J6" i="33"/>
  <c r="E58" i="29"/>
  <c r="K58" i="29"/>
  <c r="K18" i="29"/>
  <c r="I18" i="29"/>
  <c r="I15" i="33"/>
  <c r="C18" i="33"/>
  <c r="I6" i="33"/>
  <c r="I11" i="33"/>
  <c r="I8" i="33"/>
  <c r="E21" i="7"/>
  <c r="E24" i="7"/>
  <c r="E26" i="7"/>
  <c r="G34" i="20"/>
  <c r="F58" i="29"/>
  <c r="I57" i="29"/>
  <c r="G49" i="20"/>
  <c r="F50" i="20"/>
  <c r="F36" i="20"/>
  <c r="G35" i="20"/>
  <c r="F21" i="20"/>
  <c r="G20" i="20"/>
  <c r="F8" i="20"/>
  <c r="G7" i="20"/>
  <c r="I18" i="33"/>
  <c r="G50" i="20"/>
  <c r="F51" i="20"/>
  <c r="F37" i="20"/>
  <c r="G36" i="20"/>
  <c r="G21" i="20"/>
  <c r="F22" i="20"/>
  <c r="G8" i="20"/>
  <c r="F9" i="20"/>
  <c r="G51" i="20"/>
  <c r="F52" i="20"/>
  <c r="G37" i="20"/>
  <c r="F38" i="20"/>
  <c r="F23" i="20"/>
  <c r="G22" i="20"/>
  <c r="G9" i="20"/>
  <c r="F10" i="20"/>
  <c r="F53" i="20"/>
  <c r="G52" i="20"/>
  <c r="G38" i="20"/>
  <c r="F39" i="20"/>
  <c r="F24" i="20"/>
  <c r="G23" i="20"/>
  <c r="G10" i="20"/>
  <c r="F11" i="20"/>
  <c r="F54" i="20"/>
  <c r="G53" i="20"/>
  <c r="G39" i="20"/>
  <c r="F40" i="20"/>
  <c r="F25" i="20"/>
  <c r="G24" i="20"/>
  <c r="F12" i="20"/>
  <c r="G11" i="20"/>
  <c r="G54" i="20"/>
  <c r="F55" i="20"/>
  <c r="F41" i="20"/>
  <c r="G40" i="20"/>
  <c r="G25" i="20"/>
  <c r="F26" i="20"/>
  <c r="F13" i="20"/>
  <c r="G12" i="20"/>
  <c r="F56" i="20"/>
  <c r="G55" i="20"/>
  <c r="G41" i="20"/>
  <c r="F42" i="20"/>
  <c r="F27" i="20"/>
  <c r="G26" i="20"/>
  <c r="F14" i="20"/>
  <c r="G13" i="20"/>
  <c r="G56" i="20"/>
  <c r="F57" i="20"/>
  <c r="G57" i="20"/>
  <c r="F43" i="20"/>
  <c r="G42" i="20"/>
  <c r="F28" i="20"/>
  <c r="G27" i="20"/>
  <c r="G14" i="20"/>
  <c r="F15" i="20"/>
  <c r="F44" i="20"/>
  <c r="G44" i="20"/>
  <c r="G43" i="20"/>
  <c r="F29" i="20"/>
  <c r="G28" i="20"/>
  <c r="G15" i="20"/>
  <c r="F16" i="20"/>
  <c r="F30" i="20"/>
  <c r="G29" i="20"/>
  <c r="F17" i="20"/>
  <c r="G16" i="20"/>
  <c r="F31" i="20"/>
  <c r="G31" i="20"/>
  <c r="G30" i="20"/>
  <c r="F18" i="20"/>
  <c r="G17" i="20"/>
  <c r="F58" i="20"/>
  <c r="G18" i="20"/>
  <c r="G58" i="20"/>
  <c r="G58" i="29"/>
  <c r="J37" i="29"/>
  <c r="E57" i="33"/>
  <c r="D53" i="33"/>
  <c r="J53" i="33"/>
  <c r="K57" i="33"/>
  <c r="J46" i="33"/>
  <c r="J45" i="33"/>
  <c r="D52" i="33"/>
  <c r="J52" i="33"/>
  <c r="D57" i="33"/>
  <c r="I57" i="33"/>
  <c r="D54" i="33"/>
  <c r="J54" i="33"/>
  <c r="I48" i="33"/>
  <c r="D47" i="33"/>
  <c r="J47" i="33"/>
  <c r="I56" i="33"/>
  <c r="D40" i="33"/>
  <c r="J40" i="33"/>
  <c r="E44" i="33"/>
  <c r="K44" i="33"/>
  <c r="C58" i="33"/>
  <c r="D44" i="33"/>
  <c r="D43" i="33"/>
  <c r="J43" i="33"/>
  <c r="I34" i="33"/>
  <c r="I40" i="33"/>
  <c r="I37" i="33"/>
  <c r="D31" i="33"/>
  <c r="K31" i="33"/>
  <c r="D26" i="33"/>
  <c r="J26" i="33"/>
  <c r="D20" i="33"/>
  <c r="K22" i="33"/>
  <c r="J20" i="33"/>
  <c r="J31" i="33"/>
  <c r="J19" i="33"/>
  <c r="C58" i="29"/>
  <c r="I58" i="29"/>
  <c r="E18" i="33"/>
  <c r="D15" i="33"/>
  <c r="J15" i="33"/>
  <c r="D9" i="33"/>
  <c r="J9" i="33"/>
  <c r="D98" i="25"/>
  <c r="C98" i="25"/>
  <c r="J98" i="25"/>
  <c r="I98" i="25"/>
  <c r="H98" i="25"/>
  <c r="G98" i="25"/>
  <c r="F98" i="25"/>
  <c r="E98" i="25"/>
  <c r="K96" i="25"/>
  <c r="K89" i="25"/>
  <c r="L28" i="25"/>
  <c r="L96" i="25"/>
  <c r="L89" i="25"/>
  <c r="L77" i="25"/>
  <c r="L65" i="25"/>
  <c r="L54" i="25"/>
  <c r="L45" i="25"/>
  <c r="K77" i="25"/>
  <c r="K65" i="25"/>
  <c r="K54" i="25"/>
  <c r="K45" i="25"/>
  <c r="K28" i="25"/>
  <c r="G57" i="33"/>
  <c r="G44" i="33"/>
  <c r="J44" i="33"/>
  <c r="G18" i="33"/>
  <c r="F58" i="33"/>
  <c r="I44" i="33"/>
  <c r="I58" i="33"/>
  <c r="G58" i="33"/>
  <c r="J57" i="33"/>
  <c r="D58" i="29"/>
  <c r="J58" i="29"/>
  <c r="D18" i="33"/>
  <c r="J18" i="33"/>
  <c r="K18" i="33"/>
  <c r="E58" i="33"/>
  <c r="L98" i="25"/>
  <c r="K98" i="25"/>
  <c r="E26" i="1"/>
  <c r="E27" i="1"/>
  <c r="D58" i="33"/>
  <c r="J58" i="33"/>
  <c r="K58" i="33"/>
</calcChain>
</file>

<file path=xl/comments1.xml><?xml version="1.0" encoding="utf-8"?>
<comments xmlns="http://schemas.openxmlformats.org/spreadsheetml/2006/main">
  <authors>
    <author>Bolaños Rojas Walter</author>
  </authors>
  <commentList>
    <comment ref="E12" authorId="0" shapeId="0">
      <text>
        <r>
          <rPr>
            <b/>
            <sz val="8"/>
            <color indexed="81"/>
            <rFont val="Tahoma"/>
            <family val="2"/>
          </rPr>
          <t>Bolaños Rojas Walter:</t>
        </r>
        <r>
          <rPr>
            <sz val="8"/>
            <color indexed="81"/>
            <rFont val="Tahoma"/>
            <family val="2"/>
          </rPr>
          <t xml:space="preserve">
No se incluye recursos de Bono Colectivo, Junta de Protección Social, Comisión Nacional de Emergencias, Emergencias, girados por Gobierno Central a Cuentas de Caja Única del Estado.</t>
        </r>
      </text>
    </comment>
  </commentList>
</comments>
</file>

<file path=xl/comments2.xml><?xml version="1.0" encoding="utf-8"?>
<comments xmlns="http://schemas.openxmlformats.org/spreadsheetml/2006/main">
  <authors>
    <author>Agüero Céspedes Yoi</author>
  </authors>
  <commentList>
    <comment ref="D592" authorId="0" shapeId="0">
      <text>
        <r>
          <rPr>
            <b/>
            <sz val="9"/>
            <color indexed="81"/>
            <rFont val="Tahoma"/>
            <family val="2"/>
          </rPr>
          <t>Agüero Céspedes Yoi:</t>
        </r>
        <r>
          <rPr>
            <sz val="9"/>
            <color indexed="81"/>
            <rFont val="Tahoma"/>
            <family val="2"/>
          </rPr>
          <t xml:space="preserve">
En la tabla se indicaba 30-08-2018, siendo lo correcto 30-01-2018
</t>
        </r>
      </text>
    </comment>
  </commentList>
</comments>
</file>

<file path=xl/sharedStrings.xml><?xml version="1.0" encoding="utf-8"?>
<sst xmlns="http://schemas.openxmlformats.org/spreadsheetml/2006/main" count="2989" uniqueCount="1369">
  <si>
    <t>Subtotal Mutual Cartago de Ahorro y Préstamo</t>
  </si>
  <si>
    <t>Fundación Costa Rica - Canadá</t>
  </si>
  <si>
    <t xml:space="preserve">ALAJUELA   </t>
  </si>
  <si>
    <t>Jeannette Pacheco</t>
  </si>
  <si>
    <t>La Sole IV (CLYC)</t>
  </si>
  <si>
    <t>25 de Julio (BC) (Con reserva BC)</t>
  </si>
  <si>
    <t>La Angosta (BC) (Con reserva BC)</t>
  </si>
  <si>
    <t>Venecia (BC) (con reserva BC)</t>
  </si>
  <si>
    <t>El Futuro (BC) (Con reserva BC)</t>
  </si>
  <si>
    <t>Las Victorias (BC) (con reserva BC)</t>
  </si>
  <si>
    <t>Bajo Tejares</t>
  </si>
  <si>
    <t>Los Lirios (BC)</t>
  </si>
  <si>
    <t>Instituto Nacional de Vivienda y Urbanismo</t>
  </si>
  <si>
    <t>Los Robles</t>
  </si>
  <si>
    <t>La Radial</t>
  </si>
  <si>
    <t>Los Dragones (Robles II)</t>
  </si>
  <si>
    <t>Manuel de Jesús Jiménez (casos individuales)</t>
  </si>
  <si>
    <t>La Mascota (casos individuales)</t>
  </si>
  <si>
    <t>10-03-08 y 19-05-08</t>
  </si>
  <si>
    <t>Palo Campano (Casos individuales)</t>
  </si>
  <si>
    <t>La Franja (Casos Individuales)</t>
  </si>
  <si>
    <t>SAN JOSÉ</t>
  </si>
  <si>
    <t>Villa Paola</t>
  </si>
  <si>
    <t>Vistas del Monte</t>
  </si>
  <si>
    <t>Fátima</t>
  </si>
  <si>
    <t>Subtotal Instituto Nacional de Vivienda y Urbanismo</t>
  </si>
  <si>
    <t>Cielo Azul (El Fortín)</t>
  </si>
  <si>
    <t>Bella Vista</t>
  </si>
  <si>
    <t>Los Cipreses</t>
  </si>
  <si>
    <t>La Pista (CLYC)</t>
  </si>
  <si>
    <t>Valle Dorado</t>
  </si>
  <si>
    <t>Los Pioneros</t>
  </si>
  <si>
    <t>Vista Hermosa</t>
  </si>
  <si>
    <t>Doña Lorena (CLYC)</t>
  </si>
  <si>
    <t>Los Reformadores</t>
  </si>
  <si>
    <t>Coopenae R.L.</t>
  </si>
  <si>
    <t>Boruca</t>
  </si>
  <si>
    <t>Subtotal Coopenae R.L.</t>
  </si>
  <si>
    <t>Coopealianza R.L.</t>
  </si>
  <si>
    <t>Banco de Costa Rica</t>
  </si>
  <si>
    <t>Ivannia</t>
  </si>
  <si>
    <t>Familias beneficiadas</t>
  </si>
  <si>
    <t>Verolís - Barranca (BC) (con reserva BC)</t>
  </si>
  <si>
    <t>09-06-08, 06-10-08, 08-07-09</t>
  </si>
  <si>
    <t>Las Bellotas (casos individuales)</t>
  </si>
  <si>
    <t>Banco Popular</t>
  </si>
  <si>
    <t>Subtotal Banco Popular</t>
  </si>
  <si>
    <t>Sub-total ALAJUELA</t>
  </si>
  <si>
    <t>Sub-total SAN JOSE</t>
  </si>
  <si>
    <t>Sub-total CARTAGO</t>
  </si>
  <si>
    <t>Sub-total HEREDIA</t>
  </si>
  <si>
    <t>Sub-total GUANACASTE</t>
  </si>
  <si>
    <t>Sub-total PUNTARENAS</t>
  </si>
  <si>
    <t>Sub-total LIMON</t>
  </si>
  <si>
    <t>Subtotal Banco de Costa Rica</t>
  </si>
  <si>
    <t>Banco Crédito Agrícola de Cartago</t>
  </si>
  <si>
    <t>Subtotal Banco Crédito Agrícola de Cartago</t>
  </si>
  <si>
    <t>Llanos de Santa Lucía (Sólo BC)</t>
  </si>
  <si>
    <t>FLORES</t>
  </si>
  <si>
    <t>LA CRUZ</t>
  </si>
  <si>
    <t>23-02-09. 11-01-10. 19-04-10</t>
  </si>
  <si>
    <t>Atlántida (casos individuales).  Retención</t>
  </si>
  <si>
    <t>BANCO HIPOTECARIO DE LA VIVIENDA</t>
  </si>
  <si>
    <t>PROGRAMA FONDO DE SUBSIDIO PARA LA VIVIENDA</t>
  </si>
  <si>
    <t>INGRESO DE RECURSOS POR MES</t>
  </si>
  <si>
    <t>(millones de colones)</t>
  </si>
  <si>
    <t>MES</t>
  </si>
  <si>
    <t>TOTAL INGRESOS FODESAF</t>
  </si>
  <si>
    <t>TOTAL</t>
  </si>
  <si>
    <t>OBJETIVO ESPECIFICO</t>
  </si>
  <si>
    <t>META</t>
  </si>
  <si>
    <t>GRADO DE CUMPLIMIENTO</t>
  </si>
  <si>
    <t>JUSTIFICACION</t>
  </si>
  <si>
    <t>Presupuesto Ordinario</t>
  </si>
  <si>
    <t>Mas:</t>
  </si>
  <si>
    <t>Recaudación Planillas CCSS</t>
  </si>
  <si>
    <t>Sub-total Ingresos FODESAF</t>
  </si>
  <si>
    <t>Otros Egresos</t>
  </si>
  <si>
    <t>Atención de casos individuales u ordinarios de familias en condociones de probreza o estrema pobreza</t>
  </si>
  <si>
    <t>Presupuesto Extraordinario</t>
  </si>
  <si>
    <t>Otros Ingresos FODESAF</t>
  </si>
  <si>
    <t>Recursos transferidos por Hacienda</t>
  </si>
  <si>
    <t>Transferencia de Recursos</t>
  </si>
  <si>
    <t>ALAJUELA</t>
  </si>
  <si>
    <t>CARTAGO</t>
  </si>
  <si>
    <t>HEREDIA</t>
  </si>
  <si>
    <t>GUANACASTE</t>
  </si>
  <si>
    <t>PUNTARENAS</t>
  </si>
  <si>
    <t>(Colones)</t>
  </si>
  <si>
    <t>Provincia</t>
  </si>
  <si>
    <t>Cantón</t>
  </si>
  <si>
    <t>Producto</t>
  </si>
  <si>
    <t>P1 Construcción en Lote Propio</t>
  </si>
  <si>
    <t>P2 Compra de Lote y Construcción</t>
  </si>
  <si>
    <t>P3 Compra de Vivienda Existente</t>
  </si>
  <si>
    <t>P4 Ampliación, Mejroas y Terminación de Vivienda</t>
  </si>
  <si>
    <t>TOTAL GENERAL</t>
  </si>
  <si>
    <t>Casos</t>
  </si>
  <si>
    <t>Monto</t>
  </si>
  <si>
    <t>DESAMPARADOS</t>
  </si>
  <si>
    <t>SAN RAFAEL</t>
  </si>
  <si>
    <t>PURISCAL</t>
  </si>
  <si>
    <t>MORA</t>
  </si>
  <si>
    <t>GOICOECHEA</t>
  </si>
  <si>
    <t>ALAJUELITA</t>
  </si>
  <si>
    <t>ACOSTA</t>
  </si>
  <si>
    <t>GRECIA</t>
  </si>
  <si>
    <t>SAN MATEO</t>
  </si>
  <si>
    <t>ATENAS</t>
  </si>
  <si>
    <t>NARANJO</t>
  </si>
  <si>
    <t>PALMARES</t>
  </si>
  <si>
    <t>BUENOS AIRES</t>
  </si>
  <si>
    <t>OROTINA</t>
  </si>
  <si>
    <t>SAN CARLOS</t>
  </si>
  <si>
    <t>VALVERDE VEGA</t>
  </si>
  <si>
    <t>UPALA</t>
  </si>
  <si>
    <t>LOS CHILES</t>
  </si>
  <si>
    <t>GUATUSO</t>
  </si>
  <si>
    <t>TURRIALBA</t>
  </si>
  <si>
    <t>SANTA CRUZ</t>
  </si>
  <si>
    <t>OREAMUNO</t>
  </si>
  <si>
    <t>EL GUARCO</t>
  </si>
  <si>
    <t>SAN ISIDRO</t>
  </si>
  <si>
    <t>LIBERIA</t>
  </si>
  <si>
    <t>NICOYA</t>
  </si>
  <si>
    <t>BAGACES</t>
  </si>
  <si>
    <t>CARRILLO</t>
  </si>
  <si>
    <t>NANDAYURE</t>
  </si>
  <si>
    <t>ESPARZA</t>
  </si>
  <si>
    <t>OSA</t>
  </si>
  <si>
    <t>COTO BRUS</t>
  </si>
  <si>
    <t>PARRITA</t>
  </si>
  <si>
    <t>CORREDORES</t>
  </si>
  <si>
    <t>SIQUIRRES</t>
  </si>
  <si>
    <t>Construcción en Lote Propio</t>
  </si>
  <si>
    <t>Compra de Lote y Construcción</t>
  </si>
  <si>
    <t>Compra de Vivienda Existente</t>
  </si>
  <si>
    <t>BARVA</t>
  </si>
  <si>
    <t>ABANGARES</t>
  </si>
  <si>
    <t>Producto o Servicio</t>
  </si>
  <si>
    <t>Mes</t>
  </si>
  <si>
    <t>Financiamiento FODESAF por unidad de producto</t>
  </si>
  <si>
    <t>Enero</t>
  </si>
  <si>
    <t>Febrero</t>
  </si>
  <si>
    <t>Marzo</t>
  </si>
  <si>
    <t>Abril</t>
  </si>
  <si>
    <t>Mayo</t>
  </si>
  <si>
    <t>Junio</t>
  </si>
  <si>
    <t>Julio</t>
  </si>
  <si>
    <t>Agosto</t>
  </si>
  <si>
    <t>Septiembre</t>
  </si>
  <si>
    <t>Octubre</t>
  </si>
  <si>
    <t>Noviembre</t>
  </si>
  <si>
    <t>Diciembre</t>
  </si>
  <si>
    <t>TOTAL P1</t>
  </si>
  <si>
    <t>TOTAL P2</t>
  </si>
  <si>
    <t>TOTAL P3</t>
  </si>
  <si>
    <t>Reparación, Ampliación, Mejroas y Terminación de Vivienda</t>
  </si>
  <si>
    <t>TOTAL P4</t>
  </si>
  <si>
    <t>Número de Casos</t>
  </si>
  <si>
    <t>Monto de Inversión</t>
  </si>
  <si>
    <t>Número de Casos Acumulado</t>
  </si>
  <si>
    <t>Monto de Inversión Acumulado</t>
  </si>
  <si>
    <t>Mensual</t>
  </si>
  <si>
    <t>Acumulado</t>
  </si>
  <si>
    <t>RECAUDACION PLANILLAS CCSS</t>
  </si>
  <si>
    <t>Transferencias Gobierno Central</t>
  </si>
  <si>
    <t>OTROS          FODESAF</t>
  </si>
  <si>
    <t>MORAVIA</t>
  </si>
  <si>
    <t>TURRUBARES</t>
  </si>
  <si>
    <t>SAN PABLO</t>
  </si>
  <si>
    <t>DOTA</t>
  </si>
  <si>
    <t>CURRIDABAT</t>
  </si>
  <si>
    <t>ALVARADO</t>
  </si>
  <si>
    <t>SANTO DOMINGO</t>
  </si>
  <si>
    <t>HOJANCHA</t>
  </si>
  <si>
    <t>MONTES DE ORO</t>
  </si>
  <si>
    <t>GOLFITO</t>
  </si>
  <si>
    <t>TALAMANCA</t>
  </si>
  <si>
    <t>MATINA</t>
  </si>
  <si>
    <t>DIRECCIÓN FOSUVI</t>
  </si>
  <si>
    <t>(En millones de colones)</t>
  </si>
  <si>
    <t>Fecha de aprobación</t>
  </si>
  <si>
    <t>Vencimiento total</t>
  </si>
  <si>
    <t>Vencimiento Prórroga</t>
  </si>
  <si>
    <t>Monto Art. 59 aprobado</t>
  </si>
  <si>
    <t>Monto Bono Colectivo aprobado</t>
  </si>
  <si>
    <t>Monto total aprobado</t>
  </si>
  <si>
    <t>Monto Art. 59 girado</t>
  </si>
  <si>
    <t>Monto Bono Colectivo Girado</t>
  </si>
  <si>
    <t>Monto total Girado</t>
  </si>
  <si>
    <t>Saldo por girar Art. 59</t>
  </si>
  <si>
    <t>Saldo por girar Bono Colectivo</t>
  </si>
  <si>
    <t>Saldo total por girar o pagar</t>
  </si>
  <si>
    <t>Saldo Línea de Crédito</t>
  </si>
  <si>
    <t>Avance Obras</t>
  </si>
  <si>
    <t>Soluciones</t>
  </si>
  <si>
    <t>BFV emitidos</t>
  </si>
  <si>
    <t>Infraest.</t>
  </si>
  <si>
    <t>Viviendas</t>
  </si>
  <si>
    <t>Grupo Mutual Alajuela - La Vivienda</t>
  </si>
  <si>
    <t>El Edén</t>
  </si>
  <si>
    <t>Fideicomiso</t>
  </si>
  <si>
    <t>N/A</t>
  </si>
  <si>
    <t>Metropolís IV (Hig/Com)</t>
  </si>
  <si>
    <t>Metrópolis IV Sector B</t>
  </si>
  <si>
    <t>Metrópolis IV Sector C</t>
  </si>
  <si>
    <t>LIMÓN</t>
  </si>
  <si>
    <t>Cascadas III</t>
  </si>
  <si>
    <t>06-05-04, 13-05-04, 14-10-04</t>
  </si>
  <si>
    <t>Asentamiento Corazón de Jesús (Sólo BC)</t>
  </si>
  <si>
    <t>Subtotal Grupo Mutual Alajuela - La Vivienda</t>
  </si>
  <si>
    <t>Mutual Cartago de Ahorro y Préstamo</t>
  </si>
  <si>
    <t>Las Amelias</t>
  </si>
  <si>
    <t>Limón 2000 II Etapa</t>
  </si>
  <si>
    <t>Limón 2000 (planta)</t>
  </si>
  <si>
    <t>San Buenaventura</t>
  </si>
  <si>
    <t>Manuel de Jesús Jiménez (sólo BC)</t>
  </si>
  <si>
    <t>Menos:</t>
  </si>
  <si>
    <t>Recorte Presupuestario</t>
  </si>
  <si>
    <t>Costo Operativo</t>
  </si>
  <si>
    <t>Transf. de Capital (Bonos Ordinarios+Artículo 59)</t>
  </si>
  <si>
    <t>La partida de Otros Ingresos incluye intereses, bonos reintegrados por venta o remate y recursos devueltos temporalmente por las Entidades Autorizadas que deben ser reintegrados una vez las situaciones que dieron motivo a la devolución sea corregidas. por los beneficiarios.</t>
  </si>
  <si>
    <t>Nuevo Carrizal (todo Cinchona)</t>
  </si>
  <si>
    <t>18-12-08 09-05-11</t>
  </si>
  <si>
    <t xml:space="preserve">05-09-07 28-01-09 04-03-09 04-07-11 </t>
  </si>
  <si>
    <t>1) 07/11/2010 2) 20-04-11</t>
  </si>
  <si>
    <t>Planta de tratamiento Llanos de Santa Lucía (Sólo BC)</t>
  </si>
  <si>
    <t>No aplica.  Para no duplicar las mismas 4.400 beneficiadas con las mejoras en infraestructura.</t>
  </si>
  <si>
    <t>La Campiña</t>
  </si>
  <si>
    <t>28-04-10 09-05-11</t>
  </si>
  <si>
    <t>23-11-09, 28-02-11 28-03-11</t>
  </si>
  <si>
    <t>Juan Rafael Mora</t>
  </si>
  <si>
    <t>Nueva Jerusalén</t>
  </si>
  <si>
    <t>16/12/2004 28-02-11</t>
  </si>
  <si>
    <t>La Palma II (casos individuales) Retención.</t>
  </si>
  <si>
    <t>Potrero Grande III (casos individuales con retención)</t>
  </si>
  <si>
    <t>Colinas del Valle (casos individuales con retención y parte Cinchona)</t>
  </si>
  <si>
    <t>Vencimiento prórroga plazo para construcción</t>
  </si>
  <si>
    <t>Vencimiento prórroga plazo para formalización</t>
  </si>
  <si>
    <t>Colinas del Valle (casos individuales de los cuales 12 con retención)</t>
  </si>
  <si>
    <t>12-03-12 26-03-12 09-07-12 13-08-12 12-11-12</t>
  </si>
  <si>
    <t>La Zamora</t>
  </si>
  <si>
    <t>Renacer</t>
  </si>
  <si>
    <t>Ac. 23/20-11 autoriza prórroga construcción planta de tratamiento hasta 21-05-11.</t>
  </si>
  <si>
    <t>Valle Dorado II</t>
  </si>
  <si>
    <t>Hasta el 14/04/2009. Ac. 9 S 91-08 del 08-12-08.</t>
  </si>
  <si>
    <t>Tirrases  (Sólo BC)</t>
  </si>
  <si>
    <t>1205-05 20-10-06 06-02-08 09-07-08 26-03-12</t>
  </si>
  <si>
    <t>El Tecal (casos individuales)</t>
  </si>
  <si>
    <t>Meta</t>
  </si>
  <si>
    <t>Ejecución</t>
  </si>
  <si>
    <t>Porcentaje</t>
  </si>
  <si>
    <t>POCOCÍ</t>
  </si>
  <si>
    <t>PARAÍSO</t>
  </si>
  <si>
    <t>El Rótulo</t>
  </si>
  <si>
    <t>LA UNIÓN</t>
  </si>
  <si>
    <t>CAÑAS</t>
  </si>
  <si>
    <t>GUÁCIMO</t>
  </si>
  <si>
    <t>Banco PROMÉRICA S.A.</t>
  </si>
  <si>
    <t>POÁS</t>
  </si>
  <si>
    <t>SARAPIQUÍ</t>
  </si>
  <si>
    <t>JIMÉNEZ</t>
  </si>
  <si>
    <t>Coopeaserrí RL</t>
  </si>
  <si>
    <t>Subtotal Coopeaserrí RL</t>
  </si>
  <si>
    <t>ESCAZÚ</t>
  </si>
  <si>
    <t>TARRAZÚ</t>
  </si>
  <si>
    <t>ASERRÍ</t>
  </si>
  <si>
    <t>SANTA ANA</t>
  </si>
  <si>
    <t>VÁZQUEZ DE CORONADO</t>
  </si>
  <si>
    <t>TIBÁS</t>
  </si>
  <si>
    <t>PÉREZ ZELEDÓN</t>
  </si>
  <si>
    <t>LEÓN CORTÉS CASTRO</t>
  </si>
  <si>
    <t>SAN RAMÓN</t>
  </si>
  <si>
    <t>SANTA BÁRBARA</t>
  </si>
  <si>
    <t>BELÉN</t>
  </si>
  <si>
    <t>TILARÁN</t>
  </si>
  <si>
    <t>GARABITO</t>
  </si>
  <si>
    <t xml:space="preserve"> </t>
  </si>
  <si>
    <t>Original</t>
  </si>
  <si>
    <t>Prórroga</t>
  </si>
  <si>
    <t>Aprobado</t>
  </si>
  <si>
    <t>Girado</t>
  </si>
  <si>
    <t>Girar</t>
  </si>
  <si>
    <t>de Crédito</t>
  </si>
  <si>
    <t>Totales</t>
  </si>
  <si>
    <t>Emitidos</t>
  </si>
  <si>
    <t>El Tablazo</t>
  </si>
  <si>
    <t>La Hoja Dorada</t>
  </si>
  <si>
    <t>Calle Lajas</t>
  </si>
  <si>
    <t>Los Guido Sector 1 (Sólo BC) (con reserva BC)</t>
  </si>
  <si>
    <t>13-10-08 25-10-10</t>
  </si>
  <si>
    <t>22-10-08. 19-04-10. 20-12-10 11-03-13 27-05-13</t>
  </si>
  <si>
    <t>Los Guido Sector 6 (Sólo BC)</t>
  </si>
  <si>
    <t>17-12-08  07-04-10 16-05-11</t>
  </si>
  <si>
    <t>Santa Marta III</t>
  </si>
  <si>
    <t>Asentamiento (Ciudadela) Miramar (sólo BC)</t>
  </si>
  <si>
    <t>El Porvenir</t>
  </si>
  <si>
    <t>Subtotal Fundación CR-Canadá</t>
  </si>
  <si>
    <t>Reserva Juan Rafael Mora</t>
  </si>
  <si>
    <t>18-02-09, 13-05-09, 29-07-09</t>
  </si>
  <si>
    <t>14-02-11 18-04-11 20-02-12 08-10-12 04-02-13</t>
  </si>
  <si>
    <t>Palmira (CLYC)</t>
  </si>
  <si>
    <t>Ana Paula</t>
  </si>
  <si>
    <t>Subtotal Banco PROMÉRICA S.A.</t>
  </si>
  <si>
    <t>Socorro de Brunka II (casos individuales con retención)</t>
  </si>
  <si>
    <t>Subtotal Coopealianza</t>
  </si>
  <si>
    <t>Coocique R.L.</t>
  </si>
  <si>
    <t>Subtotal Coocique R.L.</t>
  </si>
  <si>
    <t>El Ocaso (casos individuales).  Retención</t>
  </si>
  <si>
    <t>Caliche.  S-002 con retención y giro de las viviendas contra avance de obras.</t>
  </si>
  <si>
    <t>Anexo Nº 5a</t>
  </si>
  <si>
    <t>Anexo Nº 5b</t>
  </si>
  <si>
    <t>MONTES DE OCA</t>
  </si>
  <si>
    <t>07-05-12 12-08-13 2-09-13</t>
  </si>
  <si>
    <t>11-11-13 según ac. 1/56-13 del 12-08-13</t>
  </si>
  <si>
    <t>Los Cuadros  (Sólo BC)</t>
  </si>
  <si>
    <t>Juanito Mora (Sólo BC)</t>
  </si>
  <si>
    <t>Los Sitios  (Sólo BC)</t>
  </si>
  <si>
    <t>03/10/2011 22-07-13</t>
  </si>
  <si>
    <t>Cieneguita (sólo BC)</t>
  </si>
  <si>
    <t>13-06-11  16-09-13 21-10-13</t>
  </si>
  <si>
    <t>Tres Esquinas (casos individuales con retención y giro de las viviendas contra avance de obras)</t>
  </si>
  <si>
    <t>16-12-13</t>
  </si>
  <si>
    <t>Las Piñuelas (casos individuales con retención y giro de las viviendas contra avance de obras)</t>
  </si>
  <si>
    <t>19-12-13</t>
  </si>
  <si>
    <t>La Flor</t>
  </si>
  <si>
    <t>17-12-13 según ac. 10/70-13 del 07-10-13</t>
  </si>
  <si>
    <t>31/10/2011 28-10-13</t>
  </si>
  <si>
    <t>Nuevo Milenio (casos individuales con retención y giro contra avance de obras)</t>
  </si>
  <si>
    <t>Monterrey.  S-002 con retención y giro de las viviendas contra avance de obras.</t>
  </si>
  <si>
    <t>Katira.  S-002 con retención y giro de las viviendas contra avance de obras.</t>
  </si>
  <si>
    <t>25/02/2013 18-11-13</t>
  </si>
  <si>
    <t>Nota: detalle por concepto según información disponible en BANHVI.</t>
  </si>
  <si>
    <t>Lotificación Don Diego (casos individuales con retención de las pruebas de laboratorio)</t>
  </si>
  <si>
    <t>20-01-14 10-02-14</t>
  </si>
  <si>
    <t>Planta de tratamiento Las Brisas II (Sólo BC)</t>
  </si>
  <si>
    <t>N/A para no repetir las del proyecto</t>
  </si>
  <si>
    <t>09-05-11 17-02-14</t>
  </si>
  <si>
    <t>Anexo Nº 5c</t>
  </si>
  <si>
    <t>26-04-14 según Ac. 18/64-13 del 16-09-13.  26-08-14 según ac. 9/27-14 del 21-04-14.  26-12-14 según ac. 4/62-14 del 20-10-14.</t>
  </si>
  <si>
    <t>11-03-13 15-04-13 13-05-13 27-10-14</t>
  </si>
  <si>
    <t>19-01-15 según ac. 11/27-14 del 21-04-14.  19-04-15 según ac. 4/05-15 del 09-02-15.</t>
  </si>
  <si>
    <t>El Cacao</t>
  </si>
  <si>
    <t>María Fernanda (con presupuesto 2014 asignado)</t>
  </si>
  <si>
    <t>La Viga (con presupuesto 2014 asignado)</t>
  </si>
  <si>
    <t>La Europa (Sólo BC)</t>
  </si>
  <si>
    <t>11-12-08 19-09-11</t>
  </si>
  <si>
    <t>19/11/2014.  06-04-15 según ac. 3/06-15 del 12-02-15.</t>
  </si>
  <si>
    <t>14-12-14 ac. 7/64-14 del 27-10-14.  06-03-15 según ac. 3/06-15 del 12-02-15.</t>
  </si>
  <si>
    <t>Los Guido Sector 8 (sólo BC)</t>
  </si>
  <si>
    <t>Lotificación El Pilar - Cajón (casos individuales con retención de las pruebas de laboratorio)</t>
  </si>
  <si>
    <t>Boulevard del Sol III.   S-002- con retención y presupuesto 2014 asignado.</t>
  </si>
  <si>
    <t>La Maravilla.  S-002 con retención y giro de las viviendas contra avance de obras.</t>
  </si>
  <si>
    <t>El Alba-Chimurria (presupuesto 2014 asignado)</t>
  </si>
  <si>
    <t>Turrubares</t>
  </si>
  <si>
    <t>Atlántida II</t>
  </si>
  <si>
    <t>19-01-15 según ac. 11/27-14 del 21-04-14.  19-04-15 según ac. 4/05-15 del 09-02-15. 19-07-15 según ac. 7/22-15 del 20-04-15.</t>
  </si>
  <si>
    <t>30-09-15 según ac. 11/31-15 del 25-05-15.</t>
  </si>
  <si>
    <t>18-05-15</t>
  </si>
  <si>
    <t>30-06-15 según ac. 3/17-15 del 30-03-15</t>
  </si>
  <si>
    <t>20-08-15 según ac. 5/15-15 del 23-03-15</t>
  </si>
  <si>
    <t>08-09-15 según el ac. 11/33-15 del 01-06-15</t>
  </si>
  <si>
    <t>Lomas de Cocorí (Sólo BC)</t>
  </si>
  <si>
    <t>08-12-08 14-03-11 27-04-15</t>
  </si>
  <si>
    <t>Según FVR-GO-PMO-0293-12 del 13-09-12 CR-CAN informa nueva fecha de vencimiento para el 28-12-12.</t>
  </si>
  <si>
    <t>RESERVA INDÍGENA TALAMANCA BIBRÍ, CR-CAN, SOMABACU.  Presupuesto 2014 asignado ¢1,143,33.  Presupuesto 2015 asignado ¢11,69.</t>
  </si>
  <si>
    <t>02/02/2015 04-05-15</t>
  </si>
  <si>
    <t>Coopeacosta RL</t>
  </si>
  <si>
    <t>Territorio Indígena Zapatón (SOMABACU)</t>
  </si>
  <si>
    <t>Territorio Indígena Quitirrisí (SOMABACU)</t>
  </si>
  <si>
    <t>Subtotal Coopeacosta RL</t>
  </si>
  <si>
    <t>El Encanto S-002 con retención, con presupuesto 2014 asignado.</t>
  </si>
  <si>
    <t>San Martín-Siquirres</t>
  </si>
  <si>
    <t>07-04-16 según ac. 15/56-15 del 31-08-15</t>
  </si>
  <si>
    <t>La Simona (presupuesto 2014 asignado)</t>
  </si>
  <si>
    <t>Villas del Bosque III (S-002 con retención de lotes y casas)</t>
  </si>
  <si>
    <t>Florida Verde.  S-002- con retención.  Compromisos 2014.  Disponibilidad Impuesto Solidario. Tramitado originalmente a COOPEASERRÍ.</t>
  </si>
  <si>
    <t>Coopeuna RL</t>
  </si>
  <si>
    <t>La Rosalía.  Casos individuales con retención parcial de lotes y pruebas de laboratorio.</t>
  </si>
  <si>
    <t>27/07/2015 17-08-15</t>
  </si>
  <si>
    <t>Subtotal Coopeuna RL</t>
  </si>
  <si>
    <t>Condominio Vertical San Martín-Belén</t>
  </si>
  <si>
    <t>Jardines del Río</t>
  </si>
  <si>
    <t>Vistas del Miravalles</t>
  </si>
  <si>
    <t>La Perla (presupuesto 2014 y 2015 asignados)</t>
  </si>
  <si>
    <t>29-09-08 11-02-09 16-05-11 09-07-12 23-11-15</t>
  </si>
  <si>
    <t>Valle del Sol.  Presupuesto 2014 asignado.</t>
  </si>
  <si>
    <t>Don Sergio</t>
  </si>
  <si>
    <t>Hojancha</t>
  </si>
  <si>
    <t>Astúa Pirie.  S-002 con retención.  Disponibilidad Impuesto Solidario 2014 ¢543,28 y FODESAF 2015 ¢107,23.  Tramitado originalmente por Coopeaserrí.</t>
  </si>
  <si>
    <t>Los Recuerdos (Llave en Mano)</t>
  </si>
  <si>
    <t>Cocales de Duacarí</t>
  </si>
  <si>
    <t>07-05-12 17-09-12 09-12-13 01-06-15 30-11-15 08-02-16</t>
  </si>
  <si>
    <t>18/12/2008 prefactibilidad.  29-04-13 financiamiento. 27-04-15 financiamiento adicional. 08-02-16 financiamiento adicional</t>
  </si>
  <si>
    <t>N/D</t>
  </si>
  <si>
    <t>ZARCERO</t>
  </si>
  <si>
    <t>Lotificación El Hogar.  Casos individuales con retención parcial de lotes y las pruebas de laboratorio</t>
  </si>
  <si>
    <t>Lotificación Miravalles (S-002 con retención y giro de las viviendas contra avance de obras)</t>
  </si>
  <si>
    <t>30-06-15 según ac. 3/17-15 del 30-03-15.  29-06-16 según contrato ac. 19/17-16 del 07-03-16</t>
  </si>
  <si>
    <t>Lotificación Horquetas (Casos Triángulo de Solidaridad)</t>
  </si>
  <si>
    <t>Las Brisas II.  Bono Colectivo y Art. 59</t>
  </si>
  <si>
    <t>Tirrases II  (sólo BC)</t>
  </si>
  <si>
    <t>03/10/2011 prefactibilidad.  05-08-13 financiamiento. 30-05-16 financiamiento adicional</t>
  </si>
  <si>
    <t>TERRITORIO INDÍGENA CABECAR-CHIRRIPÓ, CR-CAN, TOBE TOBE S.A.</t>
  </si>
  <si>
    <t>23-03-15 04-04-16</t>
  </si>
  <si>
    <t>BFV por pagar o aplicar</t>
  </si>
  <si>
    <t>31/12/2016 según el ac. 13/59-16 del 22-08-16</t>
  </si>
  <si>
    <t>05/05/2016 22-08-16</t>
  </si>
  <si>
    <t>Orokay I (9 casos compra de lote y construcción</t>
  </si>
  <si>
    <t>Condominio Vista Real (S-002 con retención)</t>
  </si>
  <si>
    <t>Infra: 100%.  Planta: 100%</t>
  </si>
  <si>
    <t>30-07-12 17-09-12 29-07-13 30-03-15 07-12-15 14-12-15 12-09-16</t>
  </si>
  <si>
    <t>La Reseda (S-002 con retención)</t>
  </si>
  <si>
    <t>Las Brisas (BC) (con reserva BC) y Art. 59</t>
  </si>
  <si>
    <t>TERRITORIO INDÍGENA ALTO TELIRE, CR-CAN, CONSTECASA.  Presupuesto 2014.</t>
  </si>
  <si>
    <t>15/07/2016 según ac. 16/49-16 del 11-07-16</t>
  </si>
  <si>
    <t>RESERVA INDÍGENA TALAMANCA BIBRÍ, SOMABACU</t>
  </si>
  <si>
    <t>11/07/2016 08-08-16</t>
  </si>
  <si>
    <t>12/11/2015 30-11-15</t>
  </si>
  <si>
    <t>23-07-12 20-06-16 28-07-16</t>
  </si>
  <si>
    <t>10-12-16 para segregación de los lotes y 30-04-17 para vencimiento del contrato de administración según ac. 16/33-16 del 16-05-16</t>
  </si>
  <si>
    <t>26-09-16 según el ac. 17/90-16 del 19-12-16</t>
  </si>
  <si>
    <t>Las Agujas</t>
  </si>
  <si>
    <t>Brisas de Nambí (S-002 con retención)</t>
  </si>
  <si>
    <t>Las Anas</t>
  </si>
  <si>
    <t>Los Almendrales (S-002 con retención)</t>
  </si>
  <si>
    <t>09-09-09 31-01-11 20-02-12 30-03-15 23-05-16</t>
  </si>
  <si>
    <t>El Rodeo.  Sólo Bono Colectivo</t>
  </si>
  <si>
    <t>TERRITORIO INDÍGENA CABECAR TAYNI/CR-CAN/DARQCO SRL</t>
  </si>
  <si>
    <t>TERRITORIO INDÍGENA BRIBRI DE TALAMANCA/CR-CAN/SOMABACU</t>
  </si>
  <si>
    <t>19-12-16</t>
  </si>
  <si>
    <t>Las Rosas de Pocosol.   S-002- con retención.</t>
  </si>
  <si>
    <t>Cuatro Cruces de Chumico.   S-002 con retención.</t>
  </si>
  <si>
    <t>24-07-16 según ac. 22/43-16 del 20-06-16</t>
  </si>
  <si>
    <t>24-08-16 según ac. 22/43-16 del 20-06-16</t>
  </si>
  <si>
    <t>Brisas de Tilarán.  S-002- con retención.</t>
  </si>
  <si>
    <t>La Puna II (S-002 con retención)</t>
  </si>
  <si>
    <t>04-12-14 fecha de la sesión.  Comunicado el 17-02-15.  30-05-16. 31-10-16 07-11-16</t>
  </si>
  <si>
    <t>12-10-16 según el ac. 7/66-16 del 19-09-16.  31-01-17 según el ac. 10/77-16 del 31-10-16</t>
  </si>
  <si>
    <t>12-10-16 según el ac. 7/66-16 del 19-09-16.  31-01-17 según el ac. 10/77-16 del 31-10-16.</t>
  </si>
  <si>
    <t>11-11-16 según el ac. 15/30-16 del 05-05-16</t>
  </si>
  <si>
    <t>PROYECTOS ARTÍCULO 59</t>
  </si>
  <si>
    <t>BFV pagados o aplicados</t>
  </si>
  <si>
    <t>22/11/2013.  03-01-17 para el financiamiento adicional.</t>
  </si>
  <si>
    <t>92% (28% obras extra)</t>
  </si>
  <si>
    <t>26-11-15 según Ac. 7/42-15 del 13-07-15.  26-10-16 según ac. 11/79-15 del 14-12-15.  26-10-16 según ac. 9/26-16 del 18-04-16. 26-09-17 según ac. 17/10-17 del 06-02-17</t>
  </si>
  <si>
    <t>Las Agujas. Recursos CNE</t>
  </si>
  <si>
    <t>San Martín- Nicoya</t>
  </si>
  <si>
    <t>04/06/2012 prefactibilidad.  05-08-13 Financiamiento. 21-07-14 Financiamiento adicional.  12-02-15 Financiamiento adicional. 14-12-15 financiamiento adicional.  23-01-17 reasignación de saldos.</t>
  </si>
  <si>
    <t>Riojalandia.  Sólo Bono Colectivo.</t>
  </si>
  <si>
    <t>11/11/2013 23-11-15 21-12-15 20-02-17</t>
  </si>
  <si>
    <t>10-02-17 según ac. 10/88-16 del 12-12-16.  15-04-17 según ac. 11/14-17 del 20-02-17</t>
  </si>
  <si>
    <t>Las Rosas de Pocosol II Etapa.   S-002- con retención.</t>
  </si>
  <si>
    <t>Las Vueltas-Potrero Grande (Llave en Mano)</t>
  </si>
  <si>
    <t>San Martín-Guácimo</t>
  </si>
  <si>
    <t>QUEPOS</t>
  </si>
  <si>
    <t>Emanuel Ajoy</t>
  </si>
  <si>
    <t>20-02-02 03-04-17</t>
  </si>
  <si>
    <t>22-03-14 según ac. 13/85-13 del 25-11-13.  06-05-14 según ac. 10/22-14 del 02-04-14.  06-11-14 según ac. 5/39-14 del 14-07-14.  Para las obras adicionales 26-02-17 según ac. 16/10-17 del 06-02-17.  15-05-17 según ac.12/20-17 del 20-03-17.</t>
  </si>
  <si>
    <t>22-03-14 según ac. 13/85-13 del 25-11-13.  06-05-14 según ac. 10/22-14 del 02-04-14.  06-11-14 según ac. 5/39-14 del 14-07-14.  Para las obras adicionales 26-02-17 según ac. 16/10-17 del 06-02-17.  15-06-17 según ac.12/20-17 del 20-03-17 plazo para el cierre técnico y financiero del proyecto.</t>
  </si>
  <si>
    <t>11-05-14 según ac. 1/56-13 del 12-08-13.  11-04-17 según el ac. 12/77-16 del 31-10-16.  31-10-17 según ac. 15/60-17 del 21-08-17.  31-12-17  para formalización y 31-01-18 para cierre técnico y financiero según ac. 10/84-17 del 20-11-17.</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</si>
  <si>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t>
  </si>
  <si>
    <t>El Portillo</t>
  </si>
  <si>
    <t>26-08-16 según el ac. 15/33-16 del 16-05-16.  30-11-17 según ac. 19/35-17 del 22-05-17</t>
  </si>
  <si>
    <t>09-03-15 19-09-16 24-10-16 06-03-17 22-05-17 05-06-17 28-08-17 25-09-17 11-01-18</t>
  </si>
  <si>
    <t>10-12-16 para segregación de los lotes y 30-04-17 para vencimiento del contrato de administración según ac. 16/33-16 del 16-05-16.  30-09-17 para formalización y cierre técnico según el ac. 10/18-17 del 06-03-17.  30-12-17 según ac. 14/73-17 del 12-10-17.  28-02-18 para entrega de viviendas y formalización de operaciones, y 28-03-18 cierre técnico y financiero, según ac. 17/06-18 del 29-01-18.</t>
  </si>
  <si>
    <t>28-04-17 según el ac. 11/91-16 del 21-12-16.  30-09-17 según ac. 12/65-17 del 11-09-17</t>
  </si>
  <si>
    <t>30-09-17 según ac. 10/56-17</t>
  </si>
  <si>
    <t>26-10-18 para segregacióin y 19-04-19 según ac. 8/15-18 del 05-03-18</t>
  </si>
  <si>
    <t>09-03-18 según ac. 9/78-17 del 30-10-17.  09-05-18 según ac. 18/11-18 del 19-02-18.</t>
  </si>
  <si>
    <t>19/12/2016 27-03-17 18-09-17 18-09-17</t>
  </si>
  <si>
    <t>Condominio Linda Vista</t>
  </si>
  <si>
    <t>Proyecto Villas Marcel</t>
  </si>
  <si>
    <t>Santa Luisa (S-002 con retención)</t>
  </si>
  <si>
    <t>18/12/2017 19-02-18 26-02-18</t>
  </si>
  <si>
    <t>Caña Real</t>
  </si>
  <si>
    <t>Shikabá</t>
  </si>
  <si>
    <t>Valle Azul</t>
  </si>
  <si>
    <t>29/08/2016 24-10-16 07-11-16 04-09-17</t>
  </si>
  <si>
    <t>Condominio La Joya</t>
  </si>
  <si>
    <t>Las Mandarinas (BC y Art. 59 FODESAF)</t>
  </si>
  <si>
    <t>60 días naturales para el talud y cierre técnico del proyecto según ac. 10/80-17 del 06-11-17</t>
  </si>
  <si>
    <t>Las Brisas</t>
  </si>
  <si>
    <t>26/09/2011 prefactibilidad.  13-08-12 Financiamiento.  11-11-13 Cambio de empresa y fin. adic.  11-07-16 fin. adic.  22-08-16 fin. adic.  14-11-16 fin. adic y reasignación de saldos. 08-05-17 fin. adic y reasignación de saldos.  28-08-17 Fin. adic. 26-10-17 Fin. adic.</t>
  </si>
  <si>
    <t>24-09-17 según ac. 12/63-17 del 04-09-17.  16-03-18 según ac. 15/90-17 del 11-12-17.</t>
  </si>
  <si>
    <t>24-10-17 según ac. 12/63-17 del 04-09-17 para el informe de cierre técnico y financiero del proyecto.  16-04-18 para el cierre técnico y financiero según el ac. 15/90-17 del 11-12-17.</t>
  </si>
  <si>
    <t>18-10-15 según el ac. 2/12-15 del 09-03-15.  15-08-16 según ac. 4/79-15 del 14-12-15.  11-05-17 según ac. 6/85-16 del 01-12-16.  11-08-17 según el ac. 11/34-17 del 18-05-17. 11-06-18 formalización y 11/07/2018 cierre técnico y financiero ac. 15/17-18 del 12-03-18.</t>
  </si>
  <si>
    <t>05-09-17 según ac. 13/62-17 del 28-08-17.  30-11-17 para obras y 30-12-17 para cierre técnico y financiero según ac. 11/82-17 del 13-11-17.</t>
  </si>
  <si>
    <t>01-01-17 según el ac. 10/81-16 del 14-11-16.  21-04-17 según el ac. 12/14-17 del 20-02-17.  30-11-17 según ac. 12/49-17 del 10-07-17</t>
  </si>
  <si>
    <t>15-02-18 según ac. 11/65-17 del 11-09-17</t>
  </si>
  <si>
    <t>San Martín-Siquirres Etapa 1 (S-002 con retención)</t>
  </si>
  <si>
    <t>08-12-16 27-11-17</t>
  </si>
  <si>
    <t>Las Delicias de Turrubares.  S-002 con retención de las pruebas de laboratorio</t>
  </si>
  <si>
    <t>06-04-17</t>
  </si>
  <si>
    <t>TERRITORIO INDÍGENA CABECAR TAYNI/CR-CAN/SOMABACU</t>
  </si>
  <si>
    <t>Barrio Goly.  Sólo Bono Colectivo</t>
  </si>
  <si>
    <t>Tierra Prometida (Sólo BC)</t>
  </si>
  <si>
    <t>No aplica según ac. 12/04-18 del 22-01-18</t>
  </si>
  <si>
    <t>30-01-20 para concluir formalización y entrega de viviendas y 28-02-20 para cierre técnico y financiero del proyecto, según ac. 12/04-18 del 22-01-18</t>
  </si>
  <si>
    <t>La Guararí (sólo BC)</t>
  </si>
  <si>
    <t>Los Lirios (S-002 con retención)</t>
  </si>
  <si>
    <t>PROYECTO TERRITORIO INDÍGENA BRIBRI TALAMANCA/INVU/DARQCO SRL</t>
  </si>
  <si>
    <t>Las Rosas de Pocosol III Etapa.   S-002- con retención.</t>
  </si>
  <si>
    <t>Renacer de Pavones (S-002 con retención)</t>
  </si>
  <si>
    <t>12-06-17 31-07-17</t>
  </si>
  <si>
    <t>Llanuras de Canaán</t>
  </si>
  <si>
    <t>BONOS RESERVA INDÍGENA GUAYMÍ (LA CASONA), COOPENAE, SOMABACU</t>
  </si>
  <si>
    <t>14-12-09.  05-10-15 14-12-15 22-01-18</t>
  </si>
  <si>
    <t>24/09/2013 según ac. 5/28-13 del 29-04-13. 24-03-14 según ac. 4/79-13 del 04-11-13.  24-08-14 según ac. 6/21-14 del 10-03-14.  15-01-15 según ac.5/46-14 del 11-08-14.  15-12-15 según ac. 10/33-15 del 01-06-15.  30-12-2018 para la entrega de las obras, según ac. 9/42-2018 del 13-08-2018.</t>
  </si>
  <si>
    <t xml:space="preserve">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según ac. 42/32-18 del 05-07-2018. </t>
  </si>
  <si>
    <t>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y 30-11-2018 para el cierre financiero , según ac. 42/32-18 del 05-07-2018. 30-12-2018 para la entrega de las obras y 30-03-2019 para el cierre financiero del proyecto, según ac. 9/42-2018 del 13-08-2018.</t>
  </si>
  <si>
    <t>04-07-16 según  Ac. 18/75-15 del 30-11-15.  13-09-17 según el ac. 10/20-17 del 20-03-17. 30/03/2019 para la ejecución de las obras faltantes y entrega del proyecto, según ac 9/07-2019 DEL 28/01/2019.</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</si>
  <si>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 30-09-18 para la liquidación financiera y hasta el 30 de diciembre de 2018 para cierre técnico y financiero, según ac, 10/37-2018 del 23-07-2018. 31-01-2019 para el vencimiento del contrato de administración y hasta el 30-04-2019 para la entrega del cierre técnico y financiero, según ac, 5/69-2018 del 19-11-2018. 30/03/2019 para la ejecución de las obras faltantes y entrega del proyecto  y 30/06/2019 para el cierre técnico y financiero , según ac 9/07-2019 DEL 28/01/2019.</t>
  </si>
  <si>
    <t>10/06/2019 para concluir tramitología y hasta el 06-01-2010 para la construcción, según ac 10/63-2018 del 29-10-2018.</t>
  </si>
  <si>
    <t>13-01-16 según ac. 11/31-15 del 25-05-15. 13-06-15 según el ac. 13/77-15 del 07-12-15.  30-12-16 según el ac.9/40-16 del 06-06-16.  06-03-17 según el ac. 11/81-16 del 14-11-16.  06-09-17 según ac. 15/10-17 del 06-02-17.  06-12-17 según ac. 17/62-17.  06-03-18 según ac. 12/84-17. 06-07-18 para la entrega de las obras y la formalización según ac. 48/32-2018 del 05-07-2018.</t>
  </si>
  <si>
    <t>13-01-16 según ac. 11/31-15 del 25-05-15. 13-06-15 según el ac. 13/77-15 del 07-12-15.  30-12-16 según el ac.9/40-16 del 06-06-16.  06-03-17 según el ac. 11/81-16 del 14-11-16.  06-09-17 según ac. 15/10-17 del 06-02-17.  06-12-17 según ac. 17/62-17.  06-03-18 para formalización y 06-04-18 para cierre técnico y financiero según ac. 12/84-17 del 20-11-17. 06-07-18 para la entrega de las obras y la formalización y 06-10-2018 para el cierre técnico y financiero según ac. 48/32-2018 del 05-07-2018.</t>
  </si>
  <si>
    <t>06-05-14 05-03-15 13-07-15 08-08-16 06-03-17 20-03-17 31-07-17 07-08-17 28-08-17 18-09-17 19-10-17 12-02-2018 16-07-2018</t>
  </si>
  <si>
    <t>26-11-15 según Ac. 7/42-15 del 13-07-15.  26-10-16 según ac. 11/79-15 del 14-12-15.  26-03-17 según ac. 9/26-16 del 18-04-16. 26-09-17 según ac. 17/10-17 del 06-02-17.  30-11-17 según ac. 14/62-17 del 28-08-17.  30-12-17 según ac. 10/78-17 del 30-10-17.  28-02-18 para formalización y 31-03-18 para cierre técnico y financiero, según ac. 16/90-17 del 11-12-17.  30-04-18 formalización, según ac. 19/11-18 del 19-02-18. 30-06-18 formalización, según ac. 10/25-18 del 16-04-18. 30-10-18 formalización, según ac. 36/35-18 del 16-07-18. 30-12-18 para formalización según ac. 8/46-18 del 27-08-18.</t>
  </si>
  <si>
    <t>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t>
  </si>
  <si>
    <t>06-10-17 según el ac. 11/91-16 del 21-12-16.  06-02-18 según ac. 12/65-17 del 11-09-17.  06-06-18 para viviendas y formalización de operaciones, y 06-07-18 para cierre técnico y financiero, según ac. 18/06-18 del 29-01-18. 06-08-2018 para la entrega de las obras y la formalización, según ac.5/33-2018 del 09-07-2018. 06-12-18 para la entrega de la viviendas y la formación de la operaciones, según ac. 5/42-2018 del 13-08-18. 06-04-2019 para la formalización, según ac, 6/69-2018 del 19-11-2018.</t>
  </si>
  <si>
    <t>El Jícaro II</t>
  </si>
  <si>
    <t>31-01-11 02-07-12 28-01-13</t>
  </si>
  <si>
    <t>18-07-12 19/18-12 del 12-03-12</t>
  </si>
  <si>
    <t>09-03-18 según ac. 9/78-17 del 30-10-17.  09-06-18 según ac. 18/11-18 del 19-02-18. 30-07-18 según ac. 47/32-18 del 05-07-18.</t>
  </si>
  <si>
    <t>09-03-18 según ac. 9/78-17 del 30-10-17.  09-06-18 para cierre técnico y financiero, según ac. 18/11-18 del 19-02-18. 30-07-18 para la entrega de la obras y la formación de la operaciones y hasta el 30 de octubre de 2018 cierre técnico y financiero, según ac. 47/32-18 del 05-07-18.  30-11-18 para la liquidación financiera y de hasta el 28-02-2019 para el cierre técnico, según ac8/37-18 del 23-07-2018.</t>
  </si>
  <si>
    <t>05/12/2016 19-11-2018</t>
  </si>
  <si>
    <t>30-01-19 según ac. 6/46-18 del 27-08-18. 30-03-19 para la entrega del proyecto  según ac. 5/03-2019 del 14-01-2019.</t>
  </si>
  <si>
    <t>30-09-2018 para la entrega y formalización de la viviendas, según ac 9/37-2018 del 23-07-2018. 31-03-2019 para la entrega de la viviendas y la liberación de las garantían y hasta el 30-06-2019 para el cierre técnico y financiero, según ac. 9A/13-2019 del 18/02/2019.</t>
  </si>
  <si>
    <t>30-09-2018 para la entrega y formalización de la viviendas y 30-12-2018 para el cierre financiero, según ac 9/37-2018 del 23-07-2018.  31-03-2019 para la entrega de la viviendas y la liberación de las garantían y hasta el 30-06-2019 para el cierre técnico y financiero, según ac. 9A/13-2019 del 18/02/2019.</t>
  </si>
  <si>
    <t>16/02/2017 22/10/2018</t>
  </si>
  <si>
    <t>30-11-18 para la construcción según ac 5/46-2018 del 27-08-18.</t>
  </si>
  <si>
    <t>Nuevo Progreso II.  S-002- con retención.</t>
  </si>
  <si>
    <t>El Pretal</t>
  </si>
  <si>
    <t>24/09/2018 20/12/2018</t>
  </si>
  <si>
    <t>Monte Cristo.  S-002- con retención.</t>
  </si>
  <si>
    <t>Condominio Fénix</t>
  </si>
  <si>
    <t>20/12/2018 18/02/2019</t>
  </si>
  <si>
    <t>05-12-12 13-05-13 27-10-14 07-12-15 04-07-16 06-04-17 03-09-18</t>
  </si>
  <si>
    <t>Infraestructura 27-12-15.  Viviendas 30-04-16.  Según ac. 14/51-15 del 10-08-15.  30-11-17 según ac. 10/16-17 del 27-02-17 30-11-18 según ac. 13/23-18 del 09-04-18.</t>
  </si>
  <si>
    <t>24-11-15.  Según ac. 14/51-15 del 10-08-15.  30-06-17 según el ac. 10/16-17 del 27-02-17. 30-11-18 según ac. 13/23-18 del 09-04-18.</t>
  </si>
  <si>
    <t>FAFA 28-04-17.  Según ac. 14/51-15 del 10-08-15.  Formalización 30-06-17, viviendas 30-11-17 y FAFA 30-11-18 según ac. 10/16-17 del 27-02-17.30-11-18 construcción y formalización, 30-11-2019 mantenimiento y control del Sistema FAFA Y 30-12-2019 cierre técnico y fiannciero según ac. 13/23-18 del 09-04-18, adenda firmada 18/06/2018 .</t>
  </si>
  <si>
    <t>24-11-14 según  ac. 3/28/14 del 24-04-14.  27-07-15 según ac. 7/01-15.  30-07-16 según ac. 17/17-16 del 07-03-16. 30-12-18 según ac 21/40-2018 del 06-08-2018</t>
  </si>
  <si>
    <t>24-11-14 según  ac. 3/28/14 del 24-04-14.  27-07-15 según ac. 7/01-15.  30-07-16 según ac. 17/17-16 del 07-03-16. 30-06-18 según ac. 1/21-18 del 02-04-18.</t>
  </si>
  <si>
    <t>23-12-15  31-07-17 12-03-18 26-11-2018</t>
  </si>
  <si>
    <t>Reseda II (Llave en Mano)</t>
  </si>
  <si>
    <t>23/04/2018 20-12-2018 28-01-2019</t>
  </si>
  <si>
    <t>Santa Fe</t>
  </si>
  <si>
    <t>22/05/08  20-10-08 15-10-09 21-12-16 06-11-17 16-07-18</t>
  </si>
  <si>
    <t>29-03-18 según ac. 18/17-18 del 12-03-18. 31-05-18 según ac. 7/27-18 del 23-04-18.</t>
  </si>
  <si>
    <t>29-04-18 cierre financiero según ac. 18/17-18 del 12-03-18. 30-06-18 cierre técnico y  financiero según ac. 7/27-18 del 23-04-18.</t>
  </si>
  <si>
    <t>29-03-18 conclusión de obras  y 29-04-18 cierre financiero según ac. 18/17-18 del 12-03-18. 31-05-18 conclusión y entrega de las obras y 30-06-18 cierre técnico y  financiero según ac. 7/27-18 del 23-04-18. 15-09-2018 para la entrega de las obras y 15-12-2018 para el cierre financiero según ac. 11/42-2018 del 13-08-2018.</t>
  </si>
  <si>
    <t xml:space="preserve">22/10/2019
22/11/2019
</t>
  </si>
  <si>
    <t>Según el ac. 10/40-16 del 06-06-16 a) 08-06-16 para las obras del Gimnasio y cancha de fútbol. B) 30-12-16 para parque La Ponderosa c) 30-01-17 cierre técnico.   Según ac. 10/32-17 del 08-05-17 18-08-17 para obras y 18-09-17 para informe técnico y financiero.  Según ac. 11/62-17 del 28-08-17, 28-08-17 para entrega del Parque Las Mercedes. 05-09-2018 para la entrega de las obras, según ac, 10/42-2018 del 13-08-2018.</t>
  </si>
  <si>
    <t>Prefactibilidad 19/08/2013.  Financiamiento 30-11-15, 03-04-17 , 31-07-17,11-12-17 12-11-2018 17-12-2018</t>
  </si>
  <si>
    <t>24-10-17 según ac. 12/63-17 del 04-09-17 para el informe de cierre técnico y financiero del proyecto.  16-04-18 para el cierre técnico y financiero según el ac. 15/90-17 del 11-12-17. 30-12-18 para cierre técnico y financiero según el ac. 11/52-18 del 17-09-18.</t>
  </si>
  <si>
    <t>Según  el ac. 4/45-17 del 26-06-17, 26-08-17 fecha límite para la construcción de las obras correspondientes a la reubicación del lote n° 56. 29-03-19 para la construcción de las obras faltantes, según ac. 13/54-2018 del 24-09-2018.</t>
  </si>
  <si>
    <t>Según el ac. 4/45-17 del 26-06-17, 30-12-17. 29-03-19 para la formalización según ac. 7/42-2018 del 13-08-18. 10-05-19 para la formalización y entrega de las viviendas, según ac. 13/54-2018 del 24-09-2018.</t>
  </si>
  <si>
    <t>01-06-2018 según ac. 6/27-2018 para cierre técnico y financiero.</t>
  </si>
  <si>
    <t>11-05-17 11-12-17 18-12-17 11-01-18 10-12-2018</t>
  </si>
  <si>
    <t>Cartagena Valle La Estrella</t>
  </si>
  <si>
    <t>TERRITORIO INDÍGENA LA CASONA (Guaymi)/CR-CAN/SOMABACU</t>
  </si>
  <si>
    <t>20-12-2018 28-01-2019 11-02-2019</t>
  </si>
  <si>
    <t>03-03-2019 para la formalizacion y entrega de las viviendas, según ac. 7/58-2018 del 08-10-2018.</t>
  </si>
  <si>
    <t>03-03-2019 para la formalizacion y entrega de las viviendas y 03-06-2019 para el cierre técnico y financiero según ac. 7/58-2018 del 08-10-2018.</t>
  </si>
  <si>
    <t>28-02-19 para la entrega y recepción de las obras según ac, 8/42-2018 del 13-08-18.</t>
  </si>
  <si>
    <t>28-02-19 para la entrega y recepción de las obras y 30-05-19 para el cierre financiero, según ac, 8/42-2018 del 13-08-18.</t>
  </si>
  <si>
    <t>Las Rosas de Pocosol IV Etapa.   S-002- con retención.</t>
  </si>
  <si>
    <t>Las Rosas de Pocosol V Etapa.   S-002- con retención.</t>
  </si>
  <si>
    <t>19/09/2016 25-09-17 08-10-18</t>
  </si>
  <si>
    <t>30-11-18 para la entrega de las viviendas, según ac. 6/42-2018 del 13-08-2018.</t>
  </si>
  <si>
    <t>30-11-18 para la entrega de las viviendas y 28-02-2019 para el cierre financiero del proyecto, según ac. 6/42-2018 del 13-08-2018.</t>
  </si>
  <si>
    <t>01/12/2016 04/02/2019</t>
  </si>
  <si>
    <t>05-03-2018 13-08-2018</t>
  </si>
  <si>
    <t>Campo Claro (S-002 con retención)</t>
  </si>
  <si>
    <t>BONOS TERRITORIO INDÍGENA CABÉCAR CHIRRIPO, COOPENAE, SOMABACU</t>
  </si>
  <si>
    <t>27/08/2018 04/02/2019</t>
  </si>
  <si>
    <t>La Esmeralda</t>
  </si>
  <si>
    <t>Kilométro 20 (S-002 con retención)</t>
  </si>
  <si>
    <t>BONOS PROYECTO PUNTA RIEL (S-002 con retención)</t>
  </si>
  <si>
    <t>Tres y Tres (S-002 con retención)</t>
  </si>
  <si>
    <t>30-01-18 según ac. 17/58-17 del 14-08-17. 31-01-19 para la construcción, formalización y entrega de las viviendas y 30-04-2019 para el cierre técnico y financiero según ac. 4/46-18 del 27-08-18.</t>
  </si>
  <si>
    <t>Aprobación</t>
  </si>
  <si>
    <t>Don Álvaro</t>
  </si>
  <si>
    <t>El Encino</t>
  </si>
  <si>
    <t>Los Molinos (CLYC)</t>
  </si>
  <si>
    <t>Las Cascadas I (CLYC)</t>
  </si>
  <si>
    <t>Las Cascadas II (CLYC)</t>
  </si>
  <si>
    <t>La Coyolera (CLYC)</t>
  </si>
  <si>
    <t>Villas de Darizara</t>
  </si>
  <si>
    <t>El Esfuerzo (CLYC)</t>
  </si>
  <si>
    <t>Lotes Don Fello (Las Amelias)</t>
  </si>
  <si>
    <t xml:space="preserve">El Verolís </t>
  </si>
  <si>
    <t>Las Margaritas</t>
  </si>
  <si>
    <t>Villas del Sur</t>
  </si>
  <si>
    <t>Comte (CLYC)</t>
  </si>
  <si>
    <t>Dina (casos individuales)</t>
  </si>
  <si>
    <t>San Gerardo - Bagaces</t>
  </si>
  <si>
    <t>Potrero Grande</t>
  </si>
  <si>
    <t>Calle Naranjo</t>
  </si>
  <si>
    <t>El Guadalupano (Casos Individuales)</t>
  </si>
  <si>
    <t>Ramasal (Llave en mano)(Parte Cinchona)</t>
  </si>
  <si>
    <t>11-08-08 03-11-08 19-03-10 13-12-10</t>
  </si>
  <si>
    <t>Betania (Llave en mano)</t>
  </si>
  <si>
    <t>03-09-08, 08-10-08,  22-10-08, 03-11-08, 01-12-08, 11-12-08, 29-01-09, 09-03-09, 23-03-09, 15-04-09, 06-05-09, 20-05-09, 27-07-09, 30-09-09, 07-10-09, 02-12-09</t>
  </si>
  <si>
    <t>Las Aralias (Llave en mano)</t>
  </si>
  <si>
    <t>12-12-08 18-12-08 18-02-09 28-04-10 16-08-10 13-09-10 29-11-10 13-12-10 28-02-11 28-03-11 02-05-11 28-07-11</t>
  </si>
  <si>
    <t>Las Aralias II (Llave en mano)</t>
  </si>
  <si>
    <t>17-12-08 22-07-09 31-08-09 01-09-09 09-05-11 28-01-13 24-02-14 29-09-14 05-03-15 20-06-16 20-03-17 25-09-17</t>
  </si>
  <si>
    <t>El Álamo (llave en mano)</t>
  </si>
  <si>
    <t>06-05-09 18-05-09 13-09-10</t>
  </si>
  <si>
    <t>San Bernardo</t>
  </si>
  <si>
    <t>13-05-09 12-08-13</t>
  </si>
  <si>
    <t>1) 04/06/2011 2) 04-09-11 3) 04-01-12 4) 04-03-12</t>
  </si>
  <si>
    <t>1) 04-06-11 21/16-11 2) 04-09-11 13/39-11 3) 04-01-12 4/59-11 4) 04-03-12 11/04-12</t>
  </si>
  <si>
    <t>Garabito (casos individuales).  Cinchona</t>
  </si>
  <si>
    <t>31-08-09</t>
  </si>
  <si>
    <t>San Miguel Arcángel (llave en mano).  Parte Cinchona</t>
  </si>
  <si>
    <t>07-09-09 18-01-10  05-04-10 13-04-10  21-04-10 19-07-10 15-11-10  20-08-12 26-11-12</t>
  </si>
  <si>
    <t>Caimital (llave en mano)</t>
  </si>
  <si>
    <t>05-10-09</t>
  </si>
  <si>
    <t>La Maravilla (llave en mano)</t>
  </si>
  <si>
    <t>19-10-09. 04-11-09. 30-11-09. 08-02-10 29-11-10 05-12-11</t>
  </si>
  <si>
    <t>Veracruz II (llave en mano)</t>
  </si>
  <si>
    <t>04-12-09. 16-12-09</t>
  </si>
  <si>
    <t>Cerro Cortés (llave en mano) (Todo Cinchona)</t>
  </si>
  <si>
    <t>06-05-10</t>
  </si>
  <si>
    <t>Don Edwin</t>
  </si>
  <si>
    <t>27-09-10 20-06-16</t>
  </si>
  <si>
    <t>25-01-12 Ac.3/73-11</t>
  </si>
  <si>
    <t>Los Itabos (llave en mano)</t>
  </si>
  <si>
    <t>29-11-10</t>
  </si>
  <si>
    <t>Casos individuales con retención en Upala</t>
  </si>
  <si>
    <t>28-03-11</t>
  </si>
  <si>
    <t>Guapinol (llave en mano)</t>
  </si>
  <si>
    <t>12-04-11</t>
  </si>
  <si>
    <t>COOPESERSUR (llave en mano)</t>
  </si>
  <si>
    <t>16-05-11 28-07-11</t>
  </si>
  <si>
    <t>Llanos de Moya (llave en mano)</t>
  </si>
  <si>
    <t>01-08-11 14-11-11</t>
  </si>
  <si>
    <t>Valladolid (llave en mano)</t>
  </si>
  <si>
    <t>12-09-11 20-10-11 19-12-11</t>
  </si>
  <si>
    <t>El Naranjal (llave en mano)</t>
  </si>
  <si>
    <t>03-10-11 14-11-11 05-03-12</t>
  </si>
  <si>
    <t>Cerro Cortés II Etapa (llave en mano)</t>
  </si>
  <si>
    <t>30-01-12</t>
  </si>
  <si>
    <t>El Cacao (llave en mano)</t>
  </si>
  <si>
    <t>05-03-12 07-05-12 17-09-12 26-11-12</t>
  </si>
  <si>
    <t>Don Otoniel (llave en mano)</t>
  </si>
  <si>
    <t>18-10-12 26-11-12</t>
  </si>
  <si>
    <t>Las Piñuelas (llave en mano)</t>
  </si>
  <si>
    <t>17-12-12</t>
  </si>
  <si>
    <t>Sol del Caribe (llave en mano)</t>
  </si>
  <si>
    <t>21-01-13 04-04-13 17-06-13 09-09-13 28-10-13 18-11-13 02-12-13 03-02-14 24-02-14 18-08-14</t>
  </si>
  <si>
    <t>08-04-13 05-08-13 05-03-15 30-11-15 29-02-16 01-12-16 11-09-17 27-11-17 17-06-19</t>
  </si>
  <si>
    <t>Sagamat (llave en mano)</t>
  </si>
  <si>
    <t>15-04-13</t>
  </si>
  <si>
    <t>Orokay (llave en mano)</t>
  </si>
  <si>
    <t>22-04-13</t>
  </si>
  <si>
    <t>Las Delicias (llave en mano)</t>
  </si>
  <si>
    <t>13-05-13 22-07-13 29-07-13</t>
  </si>
  <si>
    <t>20-12-13 30-11-15 22-05-17 05-07-2018 06-05-2019</t>
  </si>
  <si>
    <t>Sagamat II (llave en mano)</t>
  </si>
  <si>
    <t>20-12-13 20-01-14 17-02-14</t>
  </si>
  <si>
    <t>El Beneficio (viviendas existentes)</t>
  </si>
  <si>
    <t>28-04-14</t>
  </si>
  <si>
    <t>Don Carlos II (Llave en Mano)</t>
  </si>
  <si>
    <t>18-09-14 20-10-14 20-11-14</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</si>
  <si>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según ac. 44/32-18 del 05-07-18. 30-03-2019 para formalización  según ac. 8/65-18 del 05-11-18. 30-04-2019 para formalización  según ac. 3/22-2019 del 18-03-2019. 30-07-2019 para la sustitución formalización y entrega de la vivienda pendiente,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t>
    </r>
  </si>
  <si>
    <t>El Telón.  Llave en Mano. (con presupuesto 2014 asignado)</t>
  </si>
  <si>
    <t>09-02-15 22-06-15</t>
  </si>
  <si>
    <t>La Tulita (Llave en Mano)</t>
  </si>
  <si>
    <t>25-05-15 08-06-15 13-07-15 12-11-15</t>
  </si>
  <si>
    <t>13-07-15 04-09-17 25-09-17 25-09-17 30-10-17 27-01-2020</t>
  </si>
  <si>
    <t>El Huaso (Llave en Mano)</t>
  </si>
  <si>
    <t>17/08/2015 23-12-15</t>
  </si>
  <si>
    <t xml:space="preserve">28-09-15 05-02-18 01-10-18 18-10-18 14-10-2019
</t>
  </si>
  <si>
    <r>
      <t xml:space="preserve">06-10-17 según el ac. 11/91-16 del 21-12-16.  06-02-18 según ac. 12/65-17 del 11-09-17.  06-06-18 para viviendas y formalización de operaciones, y 06-07-18 para cierre técnico y financiero, según ac. 18/06-18 del 29-01-18. 06-08-2018 para la entrega de las obras y la formalización y 06-11-2018 para el cierre financiero , según ac.5/33-2018 del 09-07-2018. 06-12-18 para la entrega de la viviendas y la formación de la operaciones y 06-03-19 para el cierre financiero del proyecto, según ac. 5/42-2018 del 13-08-18. 06-04-2019 para la formalización y 06-07-2019 para el cierre técnico y financiero, según ac, 6/69-2018 del 19-11-2018. </t>
    </r>
    <r>
      <rPr>
        <u/>
        <sz val="8"/>
        <rFont val="Arial"/>
        <family val="2"/>
      </rPr>
      <t>18-08-201</t>
    </r>
    <r>
      <rPr>
        <sz val="8"/>
        <rFont val="Arial"/>
        <family val="2"/>
      </rPr>
      <t xml:space="preserve">9 Prórroga de 40 días naturales, a partie de la fecha de comunicación del presente acuerdo para concluir el proceso de liberació de retención y presentar el cierre técnico y financiero del Proyecto. </t>
    </r>
    <r>
      <rPr>
        <b/>
        <u/>
        <sz val="8"/>
        <rFont val="Arial"/>
        <family val="2"/>
      </rPr>
      <t xml:space="preserve">13-12-2019 </t>
    </r>
    <r>
      <rPr>
        <sz val="8"/>
        <rFont val="Arial"/>
        <family val="2"/>
      </rPr>
      <t xml:space="preserve">Tres meses al plazo del proyecto, apartir de la firma del Contrato de Adminstración de recursos, según Ac 9/65-2019 del 26-08-2019 (firmado el 13-09-2019). </t>
    </r>
    <r>
      <rPr>
        <b/>
        <u/>
        <sz val="8"/>
        <rFont val="Arial"/>
        <family val="2"/>
      </rPr>
      <t>xx-xx-xx</t>
    </r>
    <r>
      <rPr>
        <sz val="8"/>
        <rFont val="Arial"/>
        <family val="2"/>
      </rPr>
      <t xml:space="preserve"> un plazo adicional e improrrogable de tres meses,, a partir de la firma del contrato de administración de recursos, para la ejecución del cierre técnico y financiero, según ac 5/11-2020 del 10-02-2020 (firmado el xx-xx-xx).</t>
    </r>
  </si>
  <si>
    <t>Nuevo Progreso (Llave en Mano)</t>
  </si>
  <si>
    <t>16-11-15</t>
  </si>
  <si>
    <t>Orokay II (llave en mano)</t>
  </si>
  <si>
    <t>23-11-15 30-11-15 7-12-15 02-02-16 16-05-16</t>
  </si>
  <si>
    <r>
      <t xml:space="preserve">30-04-18 según ac. 10/56-17 del 07-08-17.  30-05-18 segregación, 30-11-18 formalización, según ac. 20/11-18 del 19-02-18. 31-03-2019 para la formalización,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t>
    </r>
  </si>
  <si>
    <t>Katira III.  Llave en mano.</t>
  </si>
  <si>
    <t>23-12-15 02-02-16 07-03-16 05-06-17</t>
  </si>
  <si>
    <t>21-12-15 11-01-16 24-08-16 31-07-17 04-12-17 17-09-18 04-11-2019</t>
  </si>
  <si>
    <r>
      <t xml:space="preserve">Según el ac. 5/45-17 del 26-06-17:  30-03-18 para el contrato de administración:  1) 30-03-18 para la construcción del tanque de agua.  2) 30-03-18 para la formalización de operaciones y el cierre técnico del proyecto.  30-04-18 según ac. 9/88-17 del 04-12-17. 09-02-19 según ac. 9/52-18 del 17-09-18. 09-05-19 según ac.5/17-2019 del 04-03-2019 para la construcción. </t>
    </r>
    <r>
      <rPr>
        <b/>
        <u/>
        <sz val="8"/>
        <rFont val="Arial"/>
        <family val="2"/>
      </rPr>
      <t>22-01-2021</t>
    </r>
    <r>
      <rPr>
        <b/>
        <sz val="8"/>
        <rFont val="Arial"/>
        <family val="2"/>
      </rPr>
      <t xml:space="preserve"> Doce meses a partir de la firma de la adenda, </t>
    </r>
    <r>
      <rPr>
        <sz val="8"/>
        <rFont val="Arial"/>
        <family val="2"/>
      </rPr>
      <t xml:space="preserve"> para la ejecución de las obras pendientes y la segregación de las propiedades. Este plazo puede acortarse o alargarse, dependiendo de los asppectos pendientes de ejecitar según lo expuesto en el informe DF-OF-1443-2019. según ac 9/98-2019 del  09-12-2019 (firmado el 22-01-2020).</t>
    </r>
  </si>
  <si>
    <r>
      <t>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09-08-19 trámite de recepción de obras por parte de la Municipalidad y el visado de los planos y hasta el 09-01-20 para la formalización y entrega de las viviendas según ac. 9/52-18 del 17-09-18.</t>
    </r>
    <r>
      <rPr>
        <b/>
        <u/>
        <sz val="8"/>
        <rFont val="Arial"/>
        <family val="2"/>
      </rPr>
      <t xml:space="preserve"> 22-04-2021 </t>
    </r>
    <r>
      <rPr>
        <sz val="8"/>
        <rFont val="Arial"/>
        <family val="2"/>
      </rPr>
      <t>Tres meses adicionales, para la formalización de las operaciones ,  según ac 9/98-2019 del  09-12-2019 (firmado el 22-01-2020).</t>
    </r>
  </si>
  <si>
    <r>
      <t xml:space="preserve">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09-02-19 para la construcción de las obras adicionales y el tanque de agua potable, 09-08-19 trámite de recepción de obras por parte de la Municipalidad y el visado de los planos y hasta el 09-01-20 para la formalización y entrega de las viviendas según ac. 9/52-18 del 17-09-18. 09-05-19 según ac.5/17-2019 del 04-03-2019 para la construcción de las obras. </t>
    </r>
    <r>
      <rPr>
        <b/>
        <u/>
        <sz val="8"/>
        <rFont val="Arial"/>
        <family val="2"/>
      </rPr>
      <t>22-01-2021</t>
    </r>
    <r>
      <rPr>
        <b/>
        <sz val="8"/>
        <rFont val="Arial"/>
        <family val="2"/>
      </rPr>
      <t xml:space="preserve"> </t>
    </r>
    <r>
      <rPr>
        <sz val="8"/>
        <rFont val="Arial"/>
        <family val="2"/>
      </rPr>
      <t xml:space="preserve">Doce meses a partir de la firma de la adenda,  para la ejecución de las obras pendientes y la segregación de las propiedades. Este plazo puede acortarse o alargarse, dependiendo de los asppectos pendientes de ejecitar según lo expuesto en el informe DF-OF-1443-2019, </t>
    </r>
    <r>
      <rPr>
        <b/>
        <u/>
        <sz val="8"/>
        <rFont val="Arial"/>
        <family val="2"/>
      </rPr>
      <t>22-04-2021</t>
    </r>
    <r>
      <rPr>
        <sz val="8"/>
        <rFont val="Arial"/>
        <family val="2"/>
      </rPr>
      <t xml:space="preserve"> Tres meses adicionales, para la formalización de las operaciones y </t>
    </r>
    <r>
      <rPr>
        <b/>
        <u/>
        <sz val="8"/>
        <rFont val="Arial"/>
        <family val="2"/>
      </rPr>
      <t>22-07-2021</t>
    </r>
    <r>
      <rPr>
        <sz val="8"/>
        <rFont val="Arial"/>
        <family val="2"/>
      </rPr>
      <t xml:space="preserve"> Tres meses . según ac 9/98-2019 del  09-12-2019 (firmado el 22-01-2020).</t>
    </r>
  </si>
  <si>
    <t>La Esperanza (Llave en Mano)</t>
  </si>
  <si>
    <t>16-05-16 30-05-16 20-06-16 12-09-16</t>
  </si>
  <si>
    <t>Brisas de Paso Hondo (Llave en Mano)</t>
  </si>
  <si>
    <r>
      <t xml:space="preserve">05-04-2019 para la  construcción y entrega del proyecto, según ac 4/03-2019 del 14-01-2019. </t>
    </r>
    <r>
      <rPr>
        <b/>
        <u/>
        <sz val="8"/>
        <rFont val="Arial"/>
        <family val="2"/>
      </rPr>
      <t>14-12-2019</t>
    </r>
    <r>
      <rPr>
        <sz val="8"/>
        <rFont val="Arial"/>
        <family val="2"/>
      </rPr>
      <t xml:space="preserve"> Dos meses para la construcción de la última, a partir de la firma del contrato de administración del proyecto, según ac 11/74-2019 (firmado  el 14-10-2019)</t>
    </r>
  </si>
  <si>
    <t>05/07/2018 formalización y entrega y 05/08/2018 cierre financiero según ac 8/19-18 del 19/03/2018. 05/10/2018 formalización y entrega según ac 45/32-18 del 05/07/2018. 05-02-2019 para la formalización y entrega, según ac 8/56-2018 del 01-10-2018. 05/07/2019 para la formalizacion y entrega de la vivienda faltante, según ac 12/32-2019 del 29-04-2019.</t>
  </si>
  <si>
    <t>07-11-16  01-12-16  05-06-17 18-09-17  25-11-2019</t>
  </si>
  <si>
    <r>
      <rPr>
        <b/>
        <sz val="8"/>
        <rFont val="Arial"/>
        <family val="2"/>
      </rPr>
      <t>1</t>
    </r>
    <r>
      <rPr>
        <b/>
        <u/>
        <sz val="8"/>
        <rFont val="Arial"/>
        <family val="2"/>
      </rPr>
      <t>3-02-2020</t>
    </r>
    <r>
      <rPr>
        <sz val="8"/>
        <rFont val="Arial"/>
        <family val="2"/>
      </rPr>
      <t xml:space="preserve"> Cinco Meses, a partir de la firma de la adenda al contrato de administración de recursos, para la entrega y recepción de las áreas pública a la Municipalidad de Garabito, según ac 11/65-2019 del 26-08-2019 (firmado el 13-09-2019)</t>
    </r>
  </si>
  <si>
    <t>Proyecto Ciclo Vida y Parque Recreativo Mi Patio.  Prefactibilidad.  Sólo BC.</t>
  </si>
  <si>
    <r>
      <t xml:space="preserve">30-01-19 para la formalización y entrega de la viviendas y 30-04-19 para el cierre técnico y financiero según ac. 6/46-18 del 27-08-18. 30-04-19 para la entrega del proyecto y 30 de junio de 2019 para cierre técnico y financiero   según ac. 5/03-2019 del 14-01-2019. </t>
    </r>
    <r>
      <rPr>
        <u/>
        <sz val="8"/>
        <rFont val="Arial"/>
        <family val="2"/>
      </rPr>
      <t>10-09-2019</t>
    </r>
    <r>
      <rPr>
        <sz val="8"/>
        <rFont val="Arial"/>
        <family val="2"/>
      </rPr>
      <t xml:space="preserve"> Prórroga de dos meses, a partie de la fecha de comunicación del presente acuerdo para concluir el proceso de liberación de retención y presentar el cierre técnico y financiero del Proyecto. </t>
    </r>
    <r>
      <rPr>
        <b/>
        <u/>
        <sz val="8"/>
        <rFont val="Arial"/>
        <family val="2"/>
      </rPr>
      <t>04-03-2020-</t>
    </r>
    <r>
      <rPr>
        <sz val="8"/>
        <rFont val="Arial"/>
        <family val="2"/>
      </rPr>
      <t xml:space="preserve"> Cuatro meses para el proyecto habitacional Las Anas, a partir de la firma del contrato de administración, según ac 8/74-2019 del 23-09-2019 (firmado el 04-11-2019)</t>
    </r>
  </si>
  <si>
    <t>Las Jícaras (Llave en Mano)</t>
  </si>
  <si>
    <t>06/04/2017 18-05-17 17-09-18 20-05-19 07-10-2019</t>
  </si>
  <si>
    <t>30-05-2018 para la formalización de la operacionesn y 30-08-18 para el cierre técnico y financiero, según ac 5/46-2018 del 27-08-2018. 16-08-2019 para la formalización de la operaciones y la entrega de las viviendas, a partir de la firma de la adenda al contrato. según ac. 8/52-2019 del 08-07-2019.</t>
  </si>
  <si>
    <t>Condominio Ave del Paraíso (Llave en Mano)</t>
  </si>
  <si>
    <t>La Loma (Llave en Mano)</t>
  </si>
  <si>
    <t>31-01-2020, para la ejecución de las obras, según ac.8/96-2019 del 02-12-2019.</t>
  </si>
  <si>
    <t>Chorotega (Llave en Mano)</t>
  </si>
  <si>
    <t>Josue (Llave en Mano)</t>
  </si>
  <si>
    <t>07-05-18  09-07-18 13-08-18  03-09-18 28-01-2019</t>
  </si>
  <si>
    <t>Centauro (Llave en Mano)</t>
  </si>
  <si>
    <r>
      <t>09-07-2019, para finalizar el proceso de formalización, según Ac4/24-2019 del 25-03-2019.</t>
    </r>
    <r>
      <rPr>
        <b/>
        <u/>
        <sz val="8"/>
        <rFont val="Arial"/>
        <family val="2"/>
      </rPr>
      <t xml:space="preserve"> 20-10-2019</t>
    </r>
    <r>
      <rPr>
        <sz val="8"/>
        <rFont val="Arial"/>
        <family val="2"/>
      </rPr>
      <t xml:space="preserve"> Un mes para la formalización de las operaciones del Proyecto, a partir de la firma de la adenda al contrato de administración, según ac. 8/70-2019 del 09-09-2019 (firmado el 20-09-2019).</t>
    </r>
  </si>
  <si>
    <t xml:space="preserve">15/11/2020 Cierre Técnico </t>
  </si>
  <si>
    <r>
      <rPr>
        <b/>
        <u/>
        <sz val="8"/>
        <rFont val="Arial"/>
        <family val="2"/>
      </rPr>
      <t>17-12-2019</t>
    </r>
    <r>
      <rPr>
        <sz val="8"/>
        <rFont val="Arial"/>
        <family val="2"/>
      </rPr>
      <t xml:space="preserve"> tres meses al plazo para la formalización de la operaciones del proyecto  a partir de la firma de la adenda al contrato, según Ac 10/65-2019 del 26/08/2019 (firmado el 17-09-2019)</t>
    </r>
  </si>
  <si>
    <t>Malinche (Llave en Mano)</t>
  </si>
  <si>
    <t>Real Dante (Llave en Mano)</t>
  </si>
  <si>
    <t>24/12/2018 25/02/2019</t>
  </si>
  <si>
    <t>Brisas de Miravalles.  S-002- con retención.</t>
  </si>
  <si>
    <t>25/2/2019 10/04/2019</t>
  </si>
  <si>
    <t>Condominio La Arboleda (Llave en Mano)</t>
  </si>
  <si>
    <t>Josue III (Llave en Mano)</t>
  </si>
  <si>
    <t>Santa Luisa II (S-002 con retención)</t>
  </si>
  <si>
    <t>13/6/2019 23/03/2020</t>
  </si>
  <si>
    <t>Malinche II (Llave en Mano)</t>
  </si>
  <si>
    <t>Monte Cristo II</t>
  </si>
  <si>
    <t>Dos Palmeras</t>
  </si>
  <si>
    <t>Santa Rosa</t>
  </si>
  <si>
    <t>La Sole (CLYC)</t>
  </si>
  <si>
    <t>Los Laureles (CLYC)</t>
  </si>
  <si>
    <t>Los Laureles II (CLYC)</t>
  </si>
  <si>
    <t>María Augusta</t>
  </si>
  <si>
    <t>19-08-04  22-01-07</t>
  </si>
  <si>
    <t>El Naranjo</t>
  </si>
  <si>
    <t>Las Gaviotas (BC)</t>
  </si>
  <si>
    <t>5-11-08. 17-06-09.  23-09-09. 24-01-11</t>
  </si>
  <si>
    <t>04-09-09 según ac. 2 s 46-09 del 17-06-09</t>
  </si>
  <si>
    <t>Las Gaviotas.  Viviendas Art. 59</t>
  </si>
  <si>
    <t>El Nido (casos indidividuales)</t>
  </si>
  <si>
    <t>Doña Luz (Llave en mano)</t>
  </si>
  <si>
    <t>22-10-08, 08-12-08, 16-03-09, 27-05-09, 15-06-09, 12-08-09, 30-09-09</t>
  </si>
  <si>
    <t>Verolís Turrialba II (llave en mano)</t>
  </si>
  <si>
    <t>8-12-08, 20-07-09, 27-07-09, 12-08-09, 19-08-09, 31-08-09, 23-09-09, 20-11-09.  01-03-10. 08-03-10.  15-03-10.  12-04-10</t>
  </si>
  <si>
    <t>Santa Paula (llave en mano)</t>
  </si>
  <si>
    <t>29-01-09, 02-02-09, 25-02-09, 16-03-09, 23-03-09, 13-05-09, 10-08-09, 24-08-09</t>
  </si>
  <si>
    <t>La Sole (llave en mano)</t>
  </si>
  <si>
    <t>29-04-09, 13-07-09</t>
  </si>
  <si>
    <t>La Aurora (llave en mano)</t>
  </si>
  <si>
    <t>13-07-09</t>
  </si>
  <si>
    <t>Plaza Vieja (llave en mano)</t>
  </si>
  <si>
    <t>10-08-09 30-09-09 06-02-12</t>
  </si>
  <si>
    <t>Las Bromelias (llave en mano)</t>
  </si>
  <si>
    <t>04-01-10. 20-01-10</t>
  </si>
  <si>
    <t>Brasilia (llave en mano)</t>
  </si>
  <si>
    <t>04-01-10 03-02-10 17-03-10 04-05-10 13-09-10 11-10-10 15-11-10</t>
  </si>
  <si>
    <t>Las Mesas (llave en mano)</t>
  </si>
  <si>
    <t>16-08-10</t>
  </si>
  <si>
    <t>Las Cascadas (llave en mano).  Disponibilidades.</t>
  </si>
  <si>
    <t>13-09-10 13-12-10 20-06-11</t>
  </si>
  <si>
    <t>Los Rosales (Casos individuales con retención)</t>
  </si>
  <si>
    <t>27-09-10</t>
  </si>
  <si>
    <t>Las Valentinas (llave en mano)</t>
  </si>
  <si>
    <t>01-11-10</t>
  </si>
  <si>
    <t>La Huerta</t>
  </si>
  <si>
    <t>15-11-10 14-05-12</t>
  </si>
  <si>
    <t>Las Orquídeas (llave en mano)</t>
  </si>
  <si>
    <t>23-05-11 16-04-12</t>
  </si>
  <si>
    <t>San Pancracio (llave en mano)</t>
  </si>
  <si>
    <t>06-06-11 11-07-11</t>
  </si>
  <si>
    <t>Valle de las Rosas (llave en mano)</t>
  </si>
  <si>
    <t>29-08-11 26-03-12 14-05-12</t>
  </si>
  <si>
    <t>Planta de Tratamiento Limón 2000  (sólo BC)</t>
  </si>
  <si>
    <t>La Cabaña (llave en mano)</t>
  </si>
  <si>
    <t>El Dorado.  LLAVE EN MANO.  Disp Tomas y Art. 59 FODESAF</t>
  </si>
  <si>
    <t>05-03-12 07-05-12 11-06-12 13-08-12 08-10-12 22-04-13 02-09-13</t>
  </si>
  <si>
    <t>Las Palmitas( Llave en Mano)</t>
  </si>
  <si>
    <t>26-03-12 23-04-12 14-05-12 17-12-12</t>
  </si>
  <si>
    <t>Coquital (llave en mano)</t>
  </si>
  <si>
    <t>05-11-12 04-04-13</t>
  </si>
  <si>
    <t>11-12-09 04-02-13 22-09-16 12-12-16 21-12-16 25-01-17 28-08-17 11-09-17  11-09-17 18-09-17 25-09-17 05-02-18 05-02-18 12-03-18 17-09-18 08-04-2019</t>
  </si>
  <si>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según ac. 10/52-2018 del 17/09/2018. 31-05-2019 para la formalización según ac. 6/28-2019 del 08-04-2019. </t>
    </r>
    <r>
      <rPr>
        <u/>
        <sz val="8"/>
        <rFont val="Arial"/>
        <family val="2"/>
      </rPr>
      <t>22/08/2019</t>
    </r>
    <r>
      <rPr>
        <sz val="8"/>
        <rFont val="Arial"/>
        <family val="2"/>
      </rPr>
      <t xml:space="preserve"> Un mes para la formalización de las operaciones y la entrega de las viviendas, a partir de la firma de la adenda al contrato, según ac 9/52-2019 del 08-07-2019 (firmado el 22/07/2019)</t>
    </r>
  </si>
  <si>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y 30-03-19 para el cierre técnico y financiero, según ac. 10/52-2018 del 17/09/2018. 31-05-2019 para la formalización y 30-08-2019 para el cierre técnico y financiero según ac. 6/28-2019 del 08-04-2019. </t>
    </r>
    <r>
      <rPr>
        <u/>
        <sz val="8"/>
        <rFont val="Arial"/>
        <family val="2"/>
      </rPr>
      <t>22/08/2019</t>
    </r>
    <r>
      <rPr>
        <sz val="8"/>
        <rFont val="Arial"/>
        <family val="2"/>
      </rPr>
      <t xml:space="preserve"> Un mes para la formalización de las operaciones y la entrega de las viviendas, </t>
    </r>
    <r>
      <rPr>
        <u/>
        <sz val="8"/>
        <rFont val="Arial"/>
        <family val="2"/>
      </rPr>
      <t>22/12/2019</t>
    </r>
    <r>
      <rPr>
        <sz val="8"/>
        <rFont val="Arial"/>
        <family val="2"/>
      </rPr>
      <t xml:space="preserve"> Cinco meses (incluyendo el mes anterior), para la entrega del cierre técnico y financiero del proyecto,    a partir de la firma de la adenda al contrato, según ac 9/52-2019 del 08-07-2019 (firmado el 22/07/2019)</t>
    </r>
  </si>
  <si>
    <t>La Campiña (llave en mano)</t>
  </si>
  <si>
    <t>13/05/2013 22-07-13</t>
  </si>
  <si>
    <t>Upala Centro (llave en mano)</t>
  </si>
  <si>
    <t>01-07-13 02-09-13 09-09-13 20-01-14</t>
  </si>
  <si>
    <t>Ajenjal (Llave en Mano)</t>
  </si>
  <si>
    <t>28/07/2014 29-09-14</t>
  </si>
  <si>
    <t>COBASUR (maduración de proyecto)</t>
  </si>
  <si>
    <t>26/10/18 según ac. 10/17-18 del 12-03-18. 26-12-2018 para la conclusión de las obras según ac. 5/71-18 del 26-11-2018.  26/07/2019, para ejecutar las obras de interconexión de abastecimiento de agua potable del proyecto, según ac 3/26-2019 del 01-04-2019.</t>
  </si>
  <si>
    <t>26/11/18 según ac. 10/17-18 del 12-03-18. 26-03-2019 para la formalización y entrega de las viviendas según ac. 5/71-18 del 26-11-18. 26/06/2019, para la formalización de las viviendas, según ac 3/26-2019 del 01-04-2019.</t>
  </si>
  <si>
    <t>Vista Hermosa (Llave en Mano) (Carpio) (Triángulo de Solidaridad)</t>
  </si>
  <si>
    <t>16/09/2015 20-02-17</t>
  </si>
  <si>
    <t>Nuestra Señora (Llave en Mano) Casos Tríangulo de Solidaridad</t>
  </si>
  <si>
    <t>19/12/2016 21-12-16 17-04-17 08-05-17</t>
  </si>
  <si>
    <t>Parque Jerusalén (Perfil BC)</t>
  </si>
  <si>
    <t>22/5/2017 11-03-2019</t>
  </si>
  <si>
    <t>Colinas de Noche Buena (Llave en Mano)</t>
  </si>
  <si>
    <t>05-06-17 12-06-17 26-06-17 27-07-17 07-08-17</t>
  </si>
  <si>
    <r>
      <t>31/01/2019 para concluir el desarrollo de las obras, según Ac9/65-18 del 05-11-2018.</t>
    </r>
    <r>
      <rPr>
        <u/>
        <sz val="8"/>
        <rFont val="Arial"/>
        <family val="2"/>
      </rPr>
      <t xml:space="preserve"> </t>
    </r>
    <r>
      <rPr>
        <b/>
        <u/>
        <sz val="8"/>
        <rFont val="Arial"/>
        <family val="2"/>
      </rPr>
      <t>19-11-2019</t>
    </r>
    <r>
      <rPr>
        <u/>
        <sz val="8"/>
        <rFont val="Arial"/>
        <family val="2"/>
      </rPr>
      <t xml:space="preserve"> </t>
    </r>
    <r>
      <rPr>
        <sz val="8"/>
        <rFont val="Arial"/>
        <family val="2"/>
      </rPr>
      <t>Tres meses para colocar el macromedidor e interconectar el proyecto a la red de agua potable, a partir de la firma de la adenda al contrato de administración, según ac 6/56-2019 del 22-07-2019 (firmado el 19-08-2019).</t>
    </r>
  </si>
  <si>
    <r>
      <t xml:space="preserve"> 31-09-2019 para la formalización y entrega de las viviendas, según Ac9/65-18 del 05-11-2018. </t>
    </r>
    <r>
      <rPr>
        <b/>
        <u/>
        <sz val="8"/>
        <rFont val="Arial"/>
        <family val="2"/>
      </rPr>
      <t xml:space="preserve">19-07-2020 </t>
    </r>
    <r>
      <rPr>
        <sz val="8"/>
        <rFont val="Arial"/>
        <family val="2"/>
      </rPr>
      <t>Once meses (incluyendo los tres meses anteriores), para la fromalizacion y entrega de la vivienda, a  partir  de la firma de la adenda al contrato de administración de recursos,  según ac 6/56-2019 del 22-07-2019 (firmado el 19-08-2019).</t>
    </r>
  </si>
  <si>
    <t>Ac. 6/61-2018, el plazo para la ejecución y entrega de los estudios es de 20 días hábiles, posterior a los trabajos de campo, a partir de la orden de inicio por parte de la Entidad.</t>
  </si>
  <si>
    <t>Llanos de Santa Lucía (Grupo de 5 a 10)</t>
  </si>
  <si>
    <t>5/11/2018 29/07/2019</t>
  </si>
  <si>
    <t>Condominio Torres de la Montaña</t>
  </si>
  <si>
    <t>29/4/2019 27-05-2019</t>
  </si>
  <si>
    <t>Condominio Almendares</t>
  </si>
  <si>
    <t>Cacique Diriá</t>
  </si>
  <si>
    <t>Chorotega</t>
  </si>
  <si>
    <t>Finca Liberia (Res. Canadá)</t>
  </si>
  <si>
    <t>La Garita</t>
  </si>
  <si>
    <t>Res. Caribe (CLYC)</t>
  </si>
  <si>
    <t>Res. Nuevo Cairo (CLYC)</t>
  </si>
  <si>
    <t>Res. Piedras Verdes (CLYC)</t>
  </si>
  <si>
    <t>Res. San Pablo (CLYC)</t>
  </si>
  <si>
    <t>Res. Los Mangos (CLYC)</t>
  </si>
  <si>
    <t>Res. Esparsol (CLYC)</t>
  </si>
  <si>
    <t>Santa Cecilia</t>
  </si>
  <si>
    <t>Santa Rosa (CLYC) (1)</t>
  </si>
  <si>
    <t>Villas de Sarchí</t>
  </si>
  <si>
    <t>31-07-01 28-07-11</t>
  </si>
  <si>
    <t>Villa Bruselas</t>
  </si>
  <si>
    <t>C.I.</t>
  </si>
  <si>
    <t>Inmaculada (CLYC)</t>
  </si>
  <si>
    <t>La Cruz (CLYC)</t>
  </si>
  <si>
    <t>Bajo Los Rodríguez (CLYC)</t>
  </si>
  <si>
    <t>El Yas (CLYC)</t>
  </si>
  <si>
    <t>La Huerta (CLYC)</t>
  </si>
  <si>
    <t>Mar Azul</t>
  </si>
  <si>
    <t>Santo Cristo de Esquipulas</t>
  </si>
  <si>
    <t>Don Chu (CLYC)</t>
  </si>
  <si>
    <t>Bruma Azul</t>
  </si>
  <si>
    <t>Poza Azul (CLYC)</t>
  </si>
  <si>
    <t>Manuel Tuckler (CLYC)</t>
  </si>
  <si>
    <t>La Abundancia (CLYC)</t>
  </si>
  <si>
    <t>Las Palmas-Punta Riel (CLYC)</t>
  </si>
  <si>
    <t>Sonafluca (CLYC)</t>
  </si>
  <si>
    <t>Santa Elena (CLYC)</t>
  </si>
  <si>
    <t>Las Matinitas (CLYC)</t>
  </si>
  <si>
    <t>La Victoria (CLYC)</t>
  </si>
  <si>
    <t>La Victoria III (CLYC)</t>
  </si>
  <si>
    <t>Real Upala II (CLYC)</t>
  </si>
  <si>
    <t>7-10-03 y 30-10-03</t>
  </si>
  <si>
    <t>Real Upala III (CLYC)</t>
  </si>
  <si>
    <t>Tasba Pry II (CLYC)</t>
  </si>
  <si>
    <t>Tasba Pry (CLYC)</t>
  </si>
  <si>
    <t>Kilómetro 20 (Viquillas) (CLYC)</t>
  </si>
  <si>
    <t>Nazareth</t>
  </si>
  <si>
    <t>Nazareth II</t>
  </si>
  <si>
    <t>Lenca Duacarí (CLYC)</t>
  </si>
  <si>
    <t>La Sole II</t>
  </si>
  <si>
    <t>Los Molinos II (CLYC)</t>
  </si>
  <si>
    <t>Los Colegios</t>
  </si>
  <si>
    <t>Los Colegios II</t>
  </si>
  <si>
    <t>Pueblo Pacuare (El Pueblo) (CLYC)</t>
  </si>
  <si>
    <t>El Jícaro</t>
  </si>
  <si>
    <t>La Costanera (CLYC)</t>
  </si>
  <si>
    <t>Matambú II (casos ind)</t>
  </si>
  <si>
    <t>Huetar Atlántico (CLYC)</t>
  </si>
  <si>
    <t>Peñas Blancas (CLYC)</t>
  </si>
  <si>
    <t>Camino Real (CLYC)</t>
  </si>
  <si>
    <t>La Sole III (CLYC)</t>
  </si>
  <si>
    <r>
      <rPr>
        <b/>
        <u/>
        <sz val="8"/>
        <rFont val="Arial"/>
        <family val="2"/>
      </rPr>
      <t>14-01-2021</t>
    </r>
    <r>
      <rPr>
        <sz val="8"/>
        <rFont val="Arial"/>
        <family val="2"/>
      </rPr>
      <t xml:space="preserve"> Doce meses a partir de la firma del nuevo contrato de administración de recursos, para realizar el proceso de segregaciones, inscripción y constitución del condominio y entrega del cierre técnico y financiero, según ac 9/96-2019 del 02-12-2019 (firmado el 14-01-2020)</t>
    </r>
  </si>
  <si>
    <t>Plazo 180 días habiles, a partir de recibida la orden de inicio en cada una de las plantas de tratamiento, según ac 10/56-2019 del 22-07-2019</t>
  </si>
  <si>
    <t>Juan Pablo II (casos individuales)</t>
  </si>
  <si>
    <t>Verolís - Cañas</t>
  </si>
  <si>
    <t>26-09-07, 27-07-09, 31-08-09, 16-12-09</t>
  </si>
  <si>
    <t>Primera parte 15/07/2008.  Segunda parte 19-04-10</t>
  </si>
  <si>
    <t>Primera parte 29/05/2009</t>
  </si>
  <si>
    <t>1) 100% 2) 100%</t>
  </si>
  <si>
    <t>El Ceibo (Llave en mano)</t>
  </si>
  <si>
    <t>26-03-08, 31-03-08, 19-05-08, 26-11-08</t>
  </si>
  <si>
    <t>La Capri (Sólo BC.  Con reserva)</t>
  </si>
  <si>
    <t>Santa Marta (Llave en Mano)</t>
  </si>
  <si>
    <t>20-08-08 y 03-09-08 y 08-10-08</t>
  </si>
  <si>
    <t>Aguas Claras (Llave en Mano)</t>
  </si>
  <si>
    <t>Los Guido Sector 7 (sólo BC)</t>
  </si>
  <si>
    <t>27-10-08.  07-04-10 23-05-11 19-12-11</t>
  </si>
  <si>
    <t>18-11-08. 18-12-08. 26-07-10 13-05-13 21-10-13 20-10-16 19-06-17 21-02-18 22-07-19 18-11-19</t>
  </si>
  <si>
    <t>Para la operación y mantenimeinto de la PTAR del proyecto 18 meses que vencerán el 01-10-2020 para operación y manteminiento y doce meses adicionales que vencerán el 01-10-2021.
Plazo 180 días habiles, a partir de recibida la orden de inicio en cada una de las plantas de tratamiento, según ac 10/56-2019 del 22-07-2019</t>
  </si>
  <si>
    <t>La Carpio (Prefactibilidad, sólo BC)</t>
  </si>
  <si>
    <t>Vistas del Golfo (Llave en mano)</t>
  </si>
  <si>
    <t>3-12-08, 11-02-09, 03-08-09, 24-08-09, 02-09-09, 30-09-09, 07-10-09</t>
  </si>
  <si>
    <t>10/12/2008 prefactibilidad.  05-05-14 financiamiento.  28-08-17 fin. Adic. 27-11-17 fin. Adic. 15 19-02-2018 fin. Adic. 17-09-18 10-06-19</t>
  </si>
  <si>
    <t>Veracruz (Llave en mano)</t>
  </si>
  <si>
    <t>18-12-08, 11-02-09, 23-03-09, 25-05-09, 15-07-09, 03-08-09, 19-08-09, 31-08-09, 30-09-09, 20-11-09. 25-01-10</t>
  </si>
  <si>
    <t>Cerro Verde</t>
  </si>
  <si>
    <t>Villa Bonita (Casos Individuales).  Retención</t>
  </si>
  <si>
    <t>22-07-09.  16-12-09</t>
  </si>
  <si>
    <t>30-11-09 07-05-10 12-07-10 13-09-10 14-03-11 02-05-11 05-03-12 18-06-12 17-06-13</t>
  </si>
  <si>
    <t>Villa Bonita (llave en mano)</t>
  </si>
  <si>
    <t>16-12-09 18-01-10  08-02-10 17-03-10 13-04-10  28-04-10  05-05-10 12-07-10  05-08-10 15-11-10 10-02-12</t>
  </si>
  <si>
    <t>La Vereda (llave en mano)</t>
  </si>
  <si>
    <t>05-04-10. 21-04-10 12-12-11</t>
  </si>
  <si>
    <t>Lankaster (llave en mano)</t>
  </si>
  <si>
    <t>19-04-10. 03-05-10</t>
  </si>
  <si>
    <t>Ecovivienda (llave en mano)</t>
  </si>
  <si>
    <t>13-09-10 15-11-10</t>
  </si>
  <si>
    <t>Caoba (llave en mano)</t>
  </si>
  <si>
    <t>Villas del Bosque (Casos Individuales).  Retención</t>
  </si>
  <si>
    <t>Matabuey III (llave en mano)</t>
  </si>
  <si>
    <t>12-04-11 23-05-11 11-07-11 14-11-11</t>
  </si>
  <si>
    <t>Vista al Lago</t>
  </si>
  <si>
    <t>30-05-11  30-07-12 15-04-13 10-02-14</t>
  </si>
  <si>
    <t>Santa Marta II (Llave en Mano)</t>
  </si>
  <si>
    <t>22-04-2019 para la construcción de las obras de infraestructura y viviendas, según ac. 14/54-2018 del 24-09-2018. 27-11-19 para la conclusión de las obras de infraestructura y las viviendas, según ac 5/38-2019 del 20-05-2019.</t>
  </si>
  <si>
    <t>22-11-2019 para la formalización de los casos y entregas de las viviendas y presentación del cierre técnivo y financiero del proyecto, según ac. 14/54-2018 del 24-09-2018. 27-06-2020 para la formalización de las operaciones y la entrega de las viviendas, según ac 5/38-2019 del 20-05-2019.</t>
  </si>
  <si>
    <t>20-11-2019 para la construcción de las obras, según ac. 5/58-2018 del 08-10-2018. 15-05-2019 para reanudar las obras, según ac 8/28-2019 del 08-04-2019.</t>
  </si>
  <si>
    <r>
      <t xml:space="preserve">20-11-2019 para la construcción de las obras, 30-12-2019 para la entrega del cierre técnico y financiero de la etapa contructiva y 30-05-2020 para la administración y mantenimiento de la PTAR, según ac. 5/58-2018 del 08-10-2018. 15-05-2019 para reanudar las obras, 08/07/2019 para ejecutar las obras y hasta el 08/03/2021 para la operación, mantenimiento y entrega de la PTAR del proyecto, según ac 8/28-2019 del 08-04-2019. </t>
    </r>
    <r>
      <rPr>
        <b/>
        <u/>
        <sz val="8"/>
        <rFont val="Arial"/>
        <family val="2"/>
      </rPr>
      <t>12-12-2019</t>
    </r>
    <r>
      <rPr>
        <sz val="8"/>
        <rFont val="Arial"/>
        <family val="2"/>
      </rPr>
      <t xml:space="preserve"> Finalización del proceso constructivo, </t>
    </r>
    <r>
      <rPr>
        <b/>
        <u/>
        <sz val="8"/>
        <rFont val="Arial"/>
        <family val="2"/>
      </rPr>
      <t>24-12-2019</t>
    </r>
    <r>
      <rPr>
        <sz val="8"/>
        <rFont val="Arial"/>
        <family val="2"/>
      </rPr>
      <t xml:space="preserve"> Posibles eventos compendables, </t>
    </r>
    <r>
      <rPr>
        <b/>
        <u/>
        <sz val="8"/>
        <rFont val="Arial"/>
        <family val="2"/>
      </rPr>
      <t xml:space="preserve">Enero-2020 </t>
    </r>
    <r>
      <rPr>
        <sz val="8"/>
        <rFont val="Arial"/>
        <family val="2"/>
      </rPr>
      <t xml:space="preserve">Inicio de operación,  </t>
    </r>
    <r>
      <rPr>
        <b/>
        <u/>
        <sz val="8"/>
        <rFont val="Arial"/>
        <family val="2"/>
      </rPr>
      <t>Enero-2020 a 30/06-2021</t>
    </r>
    <r>
      <rPr>
        <sz val="8"/>
        <rFont val="Arial"/>
        <family val="2"/>
      </rPr>
      <t xml:space="preserve"> Mantenimiento de la PTAR, </t>
    </r>
    <r>
      <rPr>
        <b/>
        <u/>
        <sz val="8"/>
        <rFont val="Arial"/>
        <family val="2"/>
      </rPr>
      <t>30-06-2021</t>
    </r>
    <r>
      <rPr>
        <sz val="8"/>
        <rFont val="Arial"/>
        <family val="2"/>
      </rPr>
      <t xml:space="preserve"> Recepción  de la PTAR por parte del AYA y </t>
    </r>
    <r>
      <rPr>
        <b/>
        <u/>
        <sz val="8"/>
        <rFont val="Arial"/>
        <family val="2"/>
      </rPr>
      <t>30-09-2021</t>
    </r>
    <r>
      <rPr>
        <sz val="8"/>
        <rFont val="Arial"/>
        <family val="2"/>
      </rPr>
      <t xml:space="preserve"> Entrega del cierre técnico y financiero de la PTAR , según ac 3/90-2019 del 18-11-2019.</t>
    </r>
  </si>
  <si>
    <r>
      <t xml:space="preserve">18-09-17 según ac. 10/32-17 del 08-05-17.  Según ac. 11/62-17 del 28-08-17 28 de setiembre de 2017 para la presentación del informe de cierre técnico y financiero. 05-09-2018 para la entrega de las obras y 05-12-18 para el cierre financiero del proyecto según ac, 10/42-2018 del 13-08-2018. Mediante el Ac 13/50-2018 del 10-09-2019, se instruyo a la Administración coordinar con la Fundación, el cierre del contrato de adminsitracion y liquidación de las obras. </t>
    </r>
    <r>
      <rPr>
        <b/>
        <u/>
        <sz val="8"/>
        <rFont val="Arial"/>
        <family val="2"/>
      </rPr>
      <t>09-03-2020</t>
    </r>
    <r>
      <rPr>
        <sz val="8"/>
        <rFont val="Arial"/>
        <family val="2"/>
      </rPr>
      <t xml:space="preserve"> Cinco meses para el proyecto, a partir de la firma del contrato de administración, según acuerdo 9/74-2019 DEL 23-09-2019 (firmado el 09-10-2019)</t>
    </r>
  </si>
  <si>
    <t>Verolís - Cañas III Etapa (Casos individuales con retención)</t>
  </si>
  <si>
    <t>Vida Nueva</t>
  </si>
  <si>
    <t>23-07-12 02-09-13</t>
  </si>
  <si>
    <t>26-07-13 según ac. 1/43-13 del 24-06-13.  17-06-13 según Ac. 3/33-13 del 20-05-13</t>
  </si>
  <si>
    <t>25-01-14 según ac. 1/43-13 del 24-06-13.  17-12-13 según Ac. 3/33-13 del 20-05-13</t>
  </si>
  <si>
    <t>Calle Troja (llave en mano)</t>
  </si>
  <si>
    <t>Villas del Bosque II Etapa (Casos Individuales).  Retención</t>
  </si>
  <si>
    <t>20-12-12 11-02-13 06-10-14</t>
  </si>
  <si>
    <t>Pitahaya (maduración de proyecto)</t>
  </si>
  <si>
    <t>Santa Eulalia (maduración de proyecto)</t>
  </si>
  <si>
    <t>5/8/2013 22/07/2019 07-10-2019</t>
  </si>
  <si>
    <t>18-10-15 según el ac. 2/12-15 del 09-03-15.  6-02-16 según ac. 4/79-15.  11-08-17 según el ac. 11/34-17 del 18-05-17. 31/08/2019 para la construcción y entrega del proyecto según ac 7/15-2019 del 25-02-2019.</t>
  </si>
  <si>
    <t>Bajo Campos (Casos individuales)</t>
  </si>
  <si>
    <r>
      <t xml:space="preserve">04/03/2019 para la ejecución y entrega del proyecto, según ac. 10/07-2019 del 28-01-2019.
</t>
    </r>
    <r>
      <rPr>
        <u/>
        <sz val="8"/>
        <rFont val="Arial"/>
        <family val="2"/>
      </rPr>
      <t>21/08/2019</t>
    </r>
    <r>
      <rPr>
        <sz val="8"/>
        <rFont val="Arial"/>
        <family val="2"/>
      </rPr>
      <t xml:space="preserve">  Para la entrega de las obras pendientes 54 días naturales adicionales, apartir de la firma de la adenda, según Ac 9/40-2019 del 27-05-2019 (firmado el 28-06-2019)</t>
    </r>
  </si>
  <si>
    <t>Prefactibilidad 24/02/2014.  Financiamiento 04-07-16.  Financiamiento adicional 28-08-17.  Reasignación de saldos 04-09-17. Reasignación de saldos y financiamiento adicional 25-09-17. 16-12-2019</t>
  </si>
  <si>
    <r>
      <t xml:space="preserve">05-09-17 según ac. 13/62-17 del 28-08-17 para construcción y 05-10-17 para la presentación del cierre técnico y financiero.  30-11-17 para obras y 30-12-17 ára cierre técnico y financiero según ac. 11/82-17 del 13-11-17. </t>
    </r>
    <r>
      <rPr>
        <b/>
        <u/>
        <sz val="8"/>
        <rFont val="Arial"/>
        <family val="2"/>
      </rPr>
      <t>28-06-2020</t>
    </r>
    <r>
      <rPr>
        <sz val="8"/>
        <rFont val="Arial"/>
        <family val="2"/>
      </rPr>
      <t xml:space="preserve"> un plazo adicional e inprorrogable de hasta cuatro meses, a partir de la firma del contrato de administración de recursos, para la liquidación de los recursos pendientes de giro y la ejecución del cierre técnico y financiero, según ac 9/13-2020 del 17-02-2020. (firmado el 28-02-2020).</t>
    </r>
  </si>
  <si>
    <t>01-05-2018 según ac. 6/27-2018 para obras, 11-10-2018 según ac 20/40-2018 obras. 15-01-19 para la finalización de la obras, según ac.4/61-18 del 22-10-18. 12/06/2019 para la finalización de las obras, según ac 6/36-2019 del 13-05-2019.</t>
  </si>
  <si>
    <t>Juanito Mora II.    Sólo Bono Colectivo.</t>
  </si>
  <si>
    <t>Vistas del Golfo II.  Compra de Vivienda Existente.  (presupuesto 2014 asignado y rechazado.   Aprobado en 2016)</t>
  </si>
  <si>
    <t>04/12/2014 comunicado 03-02-15.  14-11-16 10-07-17.  28-08-17.  12-02-18 14-10-2019</t>
  </si>
  <si>
    <r>
      <t xml:space="preserve">01-01-17 según el ac. 10/81-16 del 14-11-16.  21-04-17 según el ac. 12/14-17 del 20-02-17.  30-12-17 para el cierre técnico y financiero del proyecto, según ac. 12/49-17 del 10-07-17.  06-06-18 formalización y entrega según ac. 16/09-18 del 12-02-18.  30-11-18 formalización y entrega según ac. 7/56-18 del 01-10-18. 30-04-2019  entrega del proyecto según ac. 7/03-2019 del 14-01-2019. </t>
    </r>
    <r>
      <rPr>
        <u/>
        <sz val="8"/>
        <rFont val="Arial"/>
        <family val="2"/>
      </rPr>
      <t>30-10-2019</t>
    </r>
    <r>
      <rPr>
        <sz val="8"/>
        <rFont val="Arial"/>
        <family val="2"/>
      </rPr>
      <t xml:space="preserve"> Tres meses para la formalización de las operaciones del proyecto, a partir de la firma de la adenda al contrato de administración de recrusos, según ac 8/56-2019 del 22-07-2019 (firmado el 30-07-2019)</t>
    </r>
  </si>
  <si>
    <r>
      <t xml:space="preserve">01-01-17 según el ac. 10/81-16 del 14-11-16.  21-04-17 según el ac. 12/14-17 del 20-02-17.  30-12-17 para el cierre técnico y financiero del proyecto, según ac. 12/49-17 del 10-07-17.  06-06-18 formalización y entrega; y 06-07-18 para liquidación técnica y financiera según ac. 16/09-18 del 12-02-18. 30-11-18 formalización y entrega; y 28-02-19 para liquidación técnica y financiera según ac. 7/56-18 del 01-10-18. 30-04-2019  entrega del proyecto y 31-07-2019 para el cierre técnico y financiero según ac. 7/03-2019 del 14-01-2019. </t>
    </r>
    <r>
      <rPr>
        <u/>
        <sz val="8"/>
        <rFont val="Arial"/>
        <family val="2"/>
      </rPr>
      <t xml:space="preserve"> 30-10-2019</t>
    </r>
    <r>
      <rPr>
        <sz val="8"/>
        <rFont val="Arial"/>
        <family val="2"/>
      </rPr>
      <t xml:space="preserve"> Tres meses para la formalización de las operaciones del proyecto, </t>
    </r>
    <r>
      <rPr>
        <u/>
        <sz val="8"/>
        <rFont val="Arial"/>
        <family val="2"/>
      </rPr>
      <t>31-01-2020</t>
    </r>
    <r>
      <rPr>
        <sz val="8"/>
        <rFont val="Arial"/>
        <family val="2"/>
      </rPr>
      <t xml:space="preserve"> Seis meses (incluyendo los tres meses anteriores), para la entrega del cierre técnico y financiero del proyecto, a partir de la firma de la adenda al contrato de administración de recrusos, según ac 8/56-2019 del 22-07-2019 (firmado el 30-07-2019)</t>
    </r>
  </si>
  <si>
    <t>30-03-18 según ac. 11/65-17 del 11-09-17, 11-06-2018 según ac.2/21-18 del 02-04-18. 11-06-18 según ac.2/21-18 del 02-04-18. 31-12-2018 según ac.8/52-18 del 17-09-18. 28/02/2019 para la formalización y entregas de las viviendas según ac. 10/77-18 del 17-12-18. 30-06-2019 para la formalización según ac 4/34-2019 del 06-05-2019.</t>
  </si>
  <si>
    <r>
      <rPr>
        <u/>
        <sz val="8"/>
        <rFont val="Arial"/>
        <family val="2"/>
      </rPr>
      <t xml:space="preserve">xxx </t>
    </r>
    <r>
      <rPr>
        <sz val="8"/>
        <rFont val="Arial"/>
        <family val="2"/>
      </rPr>
      <t>Dos meses para formalizar la última operación de Bono Familiar de Vivienda, a partir de la firma de la adenda al contrato de administracion, según ac. 5/56-2019 del 22-07-2019 (firmado el xxxxx)</t>
    </r>
  </si>
  <si>
    <r>
      <rPr>
        <u/>
        <sz val="8"/>
        <rFont val="Arial"/>
        <family val="2"/>
      </rPr>
      <t xml:space="preserve">xxx </t>
    </r>
    <r>
      <rPr>
        <sz val="8"/>
        <rFont val="Arial"/>
        <family val="2"/>
      </rPr>
      <t xml:space="preserve">Dos meses para formalizar la última operación de Bono Familiar de Vivienda, </t>
    </r>
    <r>
      <rPr>
        <u/>
        <sz val="8"/>
        <rFont val="Arial"/>
        <family val="2"/>
      </rPr>
      <t>xxx</t>
    </r>
    <r>
      <rPr>
        <sz val="8"/>
        <rFont val="Arial"/>
        <family val="2"/>
      </rPr>
      <t xml:space="preserve"> Cinco meses (incluyendo los dos meses anteriores), para la entrega del cierre técnico y financiero del proyecto,  a partir de la firma de la adenda al contrato de administracion, según ac. 5/56-2019 del 22-07-2019 (firmado el xxxxx).
</t>
    </r>
    <r>
      <rPr>
        <b/>
        <u/>
        <sz val="8"/>
        <rFont val="Arial"/>
        <family val="2"/>
      </rPr>
      <t>xx-xx-xxx</t>
    </r>
    <r>
      <rPr>
        <sz val="8"/>
        <rFont val="Arial"/>
        <family val="2"/>
      </rPr>
      <t xml:space="preserve"> un plazo adicional e improrrogable de hasta seis meses para el proyecto, a partior de la firma del nuevo contraro, para formalizar la última operación pendiente, liberar las garantías y ejecutar el cierre técnico y financiero, según ac 8/13-2020 del 17-02-2020 (firmado el xx-xx-xxx)</t>
    </r>
  </si>
  <si>
    <t>16/4/2018 08/07/2019 04/11/2019</t>
  </si>
  <si>
    <r>
      <rPr>
        <u/>
        <sz val="8"/>
        <rFont val="Arial"/>
        <family val="2"/>
      </rPr>
      <t>22-01-2020</t>
    </r>
    <r>
      <rPr>
        <sz val="8"/>
        <rFont val="Arial"/>
        <family val="2"/>
      </rPr>
      <t xml:space="preserve"> Seis meses para la conexión de los servicios individuales de agua potable y la instración de la red electrica, a partir de la firma de la adenda al contrato,según Ac 6/54-2019 del 15-07-2019 (firmado el 22-07-2019).</t>
    </r>
  </si>
  <si>
    <r>
      <rPr>
        <u/>
        <sz val="8"/>
        <rFont val="Arial"/>
        <family val="2"/>
      </rPr>
      <t>22-04-2020</t>
    </r>
    <r>
      <rPr>
        <sz val="8"/>
        <rFont val="Arial"/>
        <family val="2"/>
      </rPr>
      <t xml:space="preserve"> Nueve meses (incluyendo los seis meses anteriores), para la formalización de la operaciones y la entrega de las viviendas, a partir de la firma de la adenda al contrato,según Ac 6/54-2019 del 15-07-2019 (firmado el 22-07-2019).</t>
    </r>
  </si>
  <si>
    <t>Don Sergio II</t>
  </si>
  <si>
    <t>29-04-2019 27-05-2019</t>
  </si>
  <si>
    <t>BONOS TERRITORIO INDÍGENA SALITRE/CR-CAN/SOMABACU</t>
  </si>
  <si>
    <t>03-06-2019</t>
  </si>
  <si>
    <t>BONOS TERRITORIO INDÍGENA REY CURRE/CR-CAN/SOMABACU</t>
  </si>
  <si>
    <t>BONOS TERRITORIO INDÍGENA BRIBRI Y TAYNI/CR-CAN/DARCO</t>
  </si>
  <si>
    <t>17-06-2019</t>
  </si>
  <si>
    <t>BONOS LA CASONA III TERRITORIO GUAYMI</t>
  </si>
  <si>
    <t>Bonos Territorio Indígena Tayni V CR CAN SOMABACU</t>
  </si>
  <si>
    <t>Bonos Territorio Indígena Tayni CR CAN DARQCO</t>
  </si>
  <si>
    <t>11-11-2019</t>
  </si>
  <si>
    <t>Bonos Territorio indigena Talamanca Bribri- Aditribri  Somabacu</t>
  </si>
  <si>
    <t>Cima del Cielo</t>
  </si>
  <si>
    <t>Finca San Juan</t>
  </si>
  <si>
    <t>Finca Tenorio</t>
  </si>
  <si>
    <t>Yireth</t>
  </si>
  <si>
    <t>Finca Tenorio II (3)</t>
  </si>
  <si>
    <t>La Esperanza</t>
  </si>
  <si>
    <t>Los Ángeles</t>
  </si>
  <si>
    <t>Mata de Mora</t>
  </si>
  <si>
    <t>Nísperos III (3era etapa) (4)</t>
  </si>
  <si>
    <t>Los Cedros</t>
  </si>
  <si>
    <t>Orowe</t>
  </si>
  <si>
    <t>Loremar</t>
  </si>
  <si>
    <t>Finca San Juan (Prefactibilidad para 105 viviendas)</t>
  </si>
  <si>
    <t>Finca San Juan III Etapa (Prefactibilidad) (BC)</t>
  </si>
  <si>
    <t>Villa Flor (casos individuales)</t>
  </si>
  <si>
    <t>La Radial II</t>
  </si>
  <si>
    <t>22-10-08. 06-05-10</t>
  </si>
  <si>
    <t>31/07/2010.  Ac. 8 S. 25-10 del 05-04-10</t>
  </si>
  <si>
    <t>Palmira III (Casos individuales) Retención</t>
  </si>
  <si>
    <t>Pacuarito (llave en mano)</t>
  </si>
  <si>
    <t>13-07-09, 16-09-09</t>
  </si>
  <si>
    <t>Valle Dorado (Casos individuales) (Retención)</t>
  </si>
  <si>
    <t>Carlota Virginia (llave en mano)</t>
  </si>
  <si>
    <t>16-11-09, 20-11-09.  20-01-10. 10-03-10</t>
  </si>
  <si>
    <t>05-03-2020 Liquidacion técnica y financiera del proyecto</t>
  </si>
  <si>
    <r>
      <rPr>
        <b/>
        <u/>
        <sz val="8"/>
        <rFont val="Arial"/>
        <family val="2"/>
      </rPr>
      <t>28-03-2020</t>
    </r>
    <r>
      <rPr>
        <sz val="8"/>
        <rFont val="Arial"/>
        <family val="2"/>
      </rPr>
      <t xml:space="preserve"> para la finalización de las obras, según ac 7/21-2020 DEL 16-03-2020</t>
    </r>
  </si>
  <si>
    <t>17/12/2015 08-09-16 22-09-16 25-05-17 15-01-18 22-04-19</t>
  </si>
  <si>
    <r>
      <t xml:space="preserve">06 de junio de 2019, para la finalización de las obras, según ac 4/30-2019 del 22-04-2019. </t>
    </r>
    <r>
      <rPr>
        <b/>
        <u/>
        <sz val="8"/>
        <rFont val="Arial"/>
        <family val="2"/>
      </rPr>
      <t>11-10-2019</t>
    </r>
    <r>
      <rPr>
        <u/>
        <sz val="8"/>
        <rFont val="Arial"/>
        <family val="2"/>
      </rPr>
      <t xml:space="preserve"> </t>
    </r>
    <r>
      <rPr>
        <sz val="8"/>
        <rFont val="Arial"/>
        <family val="2"/>
      </rPr>
      <t>Un mes para la ejecución de la obras aprobadas mediante el acuerdo N°4 de la sesión 30-2019 del 22/04/2019, a partir de la firma de la adenda al contrato, según ac 5/54-2019 del 15-07-2019 (firmado el 11-09-2019)</t>
    </r>
  </si>
  <si>
    <r>
      <t xml:space="preserve">06 de diciembre de 2019, para la formalización de las operaciones de Bono Familiar de Vivienda (corresponde a los seis meses originales aprobados)  según ac 4/30-2019 del 22-04-2019. </t>
    </r>
    <r>
      <rPr>
        <b/>
        <u/>
        <sz val="8"/>
        <rFont val="Arial"/>
        <family val="2"/>
      </rPr>
      <t>11-03-2020</t>
    </r>
    <r>
      <rPr>
        <sz val="8"/>
        <rFont val="Arial"/>
        <family val="2"/>
      </rPr>
      <t xml:space="preserve"> Seis meeses (incluyendo el mmes anterior), para la formalización de las operaciones y la entrega de las viviendas, a partie de la firma de la adenda al constrato,  según ac 5/54-2019 del 15-07-2019 (firmado el 11-09-2019)</t>
    </r>
  </si>
  <si>
    <r>
      <t xml:space="preserve">06 de junio de 2019, para la finalización de las obras,   06 de diciembre de 2019, para la formalización de las operaciones de Bono Familiar de Vivienda (corresponde a los seis meses originales aprobados) y 06 de marzo de 2020, para la entrega del cierre técnico y financiero del proyecto, según ac 4/30-2019 del 22-04-2019. </t>
    </r>
    <r>
      <rPr>
        <b/>
        <u/>
        <sz val="8"/>
        <rFont val="Arial"/>
        <family val="2"/>
      </rPr>
      <t>11-10-2019</t>
    </r>
    <r>
      <rPr>
        <sz val="8"/>
        <rFont val="Arial"/>
        <family val="2"/>
      </rPr>
      <t xml:space="preserve"> Un mes para la ejecución de la obras aprobadas mediante el acuerdo N°4 de la sesión 30-2019 del 22/04/2019,  </t>
    </r>
    <r>
      <rPr>
        <b/>
        <u/>
        <sz val="8"/>
        <rFont val="Arial"/>
        <family val="2"/>
      </rPr>
      <t>11-04-2020</t>
    </r>
    <r>
      <rPr>
        <b/>
        <sz val="8"/>
        <rFont val="Arial"/>
        <family val="2"/>
      </rPr>
      <t xml:space="preserve"> Siete meeses (incluyendo el mmes anterior), para la formalización de las operaciones y la entrega de las viviendas y </t>
    </r>
    <r>
      <rPr>
        <b/>
        <u/>
        <sz val="8"/>
        <rFont val="Arial"/>
        <family val="2"/>
      </rPr>
      <t>11-07-2020</t>
    </r>
    <r>
      <rPr>
        <b/>
        <sz val="8"/>
        <rFont val="Arial"/>
        <family val="2"/>
      </rPr>
      <t xml:space="preserve"> Diez meses (incluyendo los siete meses anteriores), para ña entrega del cierre técnico y financiero del proyecto a partir de la firma de la adenda al contrato, según ac 5/54-2019 del 15-07-2019 (firmado el 11-09-2019)</t>
    </r>
  </si>
  <si>
    <t>18/02/2019 (Prefactibilidad) 04-03-2019</t>
  </si>
  <si>
    <t>Boulevard del Sol (Llave en mano)</t>
  </si>
  <si>
    <t>27-08-08 03-11-08 08-12-08 23-02-09 23-03-09 30-03-09 06-05-09 20-07-09 07-09-09 16-09-09 05-04-10</t>
  </si>
  <si>
    <t>Boulevard del Sol II (Llave en mano)</t>
  </si>
  <si>
    <t>29-11-10 20-12-10 14-03-11 12-04-11 23-05-11 27-06-11 08-08-11 05-09-11 19-12-11</t>
  </si>
  <si>
    <t>Boulevard del Sol III (Llave en mano)</t>
  </si>
  <si>
    <t>04-02-13 16-09-13 07-10-13 19-12-13 21-04-14 20-11-14 04-05-15 20-07-15 12-11-15</t>
  </si>
  <si>
    <t>Flowers of Palermo (llave en mano)</t>
  </si>
  <si>
    <t>19-10-09 20-11-09 14-12-09 15-02-10 10-03-10 21-04-10 03-05-10 7-05-10 05-07-10 05-08-10 13-09-10 04-10-10 15-11-10</t>
  </si>
  <si>
    <t>El Encanto (Casos individuales con retención)</t>
  </si>
  <si>
    <t>05-08-10 06-02-12</t>
  </si>
  <si>
    <t>Las Bellotas (llave en mano)</t>
  </si>
  <si>
    <t>El Esfuerzo (Casos individuales con retención)</t>
  </si>
  <si>
    <t>12-11-12 26-11-12 22-07-13 14-10-13</t>
  </si>
  <si>
    <t>Calle La Trocha (Casos individuales con retención)</t>
  </si>
  <si>
    <t>El Renacimiento</t>
  </si>
  <si>
    <t>El Robledal (CLYC)</t>
  </si>
  <si>
    <t>Esparsol II</t>
  </si>
  <si>
    <t>11-12-01 y 13-05-04</t>
  </si>
  <si>
    <t>Paquera (Bº Mojica) (CLYC)</t>
  </si>
  <si>
    <t>El Orgullo</t>
  </si>
  <si>
    <t>El Golfo</t>
  </si>
  <si>
    <t>30-01-06. 26-04-10</t>
  </si>
  <si>
    <t>Matabuey (Llave en mano)</t>
  </si>
  <si>
    <t>Matabuey II (Llave en mano)</t>
  </si>
  <si>
    <t>18/02/2008 y 03-03-08</t>
  </si>
  <si>
    <t>Nambí (llave en mano)</t>
  </si>
  <si>
    <t>Don Carlos (llave en mano)</t>
  </si>
  <si>
    <t>Las Bromelias (Llave en mano)</t>
  </si>
  <si>
    <t>Don Nicolás.  Casos individuales con retención.  Todo con recursos Cinchona</t>
  </si>
  <si>
    <t>Calle El Tajo (Efraín Cordero).  Casos individuales con retención.  Todo con recursos Cinchona</t>
  </si>
  <si>
    <t>Los Geranios.  Casos individuales con retención.</t>
  </si>
  <si>
    <t>28-03-11 28-03-11 23-05-11</t>
  </si>
  <si>
    <t>Tres casos de Cariari.  Casos individuales con retención.</t>
  </si>
  <si>
    <t>La Pradera II (llave en mano)</t>
  </si>
  <si>
    <t>29-08-11 05-09-11</t>
  </si>
  <si>
    <t>Pueblo Real (CLYC)</t>
  </si>
  <si>
    <t>Los Olivos (CLYC)</t>
  </si>
  <si>
    <t>Don Omar</t>
  </si>
  <si>
    <t>La Esperanza (CLYC)</t>
  </si>
  <si>
    <t>San Juan Grande (CLYC)</t>
  </si>
  <si>
    <t>El Puente (Llave en mano)</t>
  </si>
  <si>
    <t>Ramasal (Llave en mano).  Parte Cinchona</t>
  </si>
  <si>
    <t>20-05-09.  24-08-09.  04-11-09.  20-11-09. 04-12-09. 15-02-10.  22-03-10</t>
  </si>
  <si>
    <t>San Pablo de Turrubares (Llave en mano)</t>
  </si>
  <si>
    <t>11-12-09.  10-02-10 14-03-11</t>
  </si>
  <si>
    <t>Barbudal (llave en mano)</t>
  </si>
  <si>
    <t>El Señor del Triunfo (casos individuales)</t>
  </si>
  <si>
    <t>05-04-10. 21-04-10</t>
  </si>
  <si>
    <t>Nuevo Pital (llave en mano)</t>
  </si>
  <si>
    <t>MCKENZIE (casos individuales con retención)</t>
  </si>
  <si>
    <t>20-12-12 11-02-13 11-08-14</t>
  </si>
  <si>
    <t>El Huerto (Vivienda Existente)</t>
  </si>
  <si>
    <t>La Isla (presupuesto 2014 asignado).  S-002 con retención.  Tramitado originalmente por COOPEASERRÍ.</t>
  </si>
  <si>
    <t>Brisas del Chirripó (Vivienda existente)</t>
  </si>
  <si>
    <t>Las Lomitas (Llave en Mano)</t>
  </si>
  <si>
    <t>21-12-15 02-02-16 14-03-16 23-05-16</t>
  </si>
  <si>
    <t>Génesis (Llave en Mano)</t>
  </si>
  <si>
    <t>18-01-16 11-02-16</t>
  </si>
  <si>
    <t>Santa Elena (Llave en mano)</t>
  </si>
  <si>
    <t>El Rosario (Llave en Mano)</t>
  </si>
  <si>
    <t>24/08/2016 20-10-16</t>
  </si>
  <si>
    <t>Brasilia (Llave en Mano)</t>
  </si>
  <si>
    <t>Biolley (Llave en Mano)</t>
  </si>
  <si>
    <t>10-10-16  07-11-16 17-12-18</t>
  </si>
  <si>
    <t>Turrubares-DAVIVIENDA (Llave en Mano)</t>
  </si>
  <si>
    <t>4/12/2017 23/09/2019 24/02/2020</t>
  </si>
  <si>
    <t>Pepillo (Llave en Mano)</t>
  </si>
  <si>
    <t>04/05/2018 05-07-2018</t>
  </si>
  <si>
    <r>
      <rPr>
        <b/>
        <u/>
        <sz val="8"/>
        <rFont val="Arial"/>
        <family val="2"/>
      </rPr>
      <t>31-08-2020</t>
    </r>
    <r>
      <rPr>
        <sz val="8"/>
        <rFont val="Arial"/>
        <family val="2"/>
      </rPr>
      <t>, para liquidar los recursos pendientes de giro, devolver la garantía y entregar el cierre técnico y financiero, según ac 8/21-2020 del 16-03-2020.</t>
    </r>
  </si>
  <si>
    <t>26/11/2018 05/08/2019 11/11/2019</t>
  </si>
  <si>
    <r>
      <rPr>
        <b/>
        <u/>
        <sz val="8"/>
        <rFont val="Arial"/>
        <family val="2"/>
      </rPr>
      <t xml:space="preserve">11-11-2019 </t>
    </r>
    <r>
      <rPr>
        <sz val="8"/>
        <rFont val="Arial"/>
        <family val="2"/>
      </rPr>
      <t xml:space="preserve"> Dos meses, a partir de la firma de la adenda al contrato de administración de recursos, para la ejecución de las obras faltantes, según ac 12/65-2019 del 26-08-2019 (firmado el 11-09-2019)</t>
    </r>
  </si>
  <si>
    <r>
      <rPr>
        <b/>
        <u/>
        <sz val="8"/>
        <rFont val="Arial"/>
        <family val="2"/>
      </rPr>
      <t>11-05-2020</t>
    </r>
    <r>
      <rPr>
        <sz val="8"/>
        <rFont val="Arial"/>
        <family val="2"/>
      </rPr>
      <t xml:space="preserve"> Ocho  meses (incluyendo los dos meses anteriores), a partir de la firma de la adenda al contrato de administración de recursos, para la formalización y entrega de las viviendas, según ac 12/65-2019 del 26-08-2019 (firmado el 11-09-2019)</t>
    </r>
  </si>
  <si>
    <r>
      <rPr>
        <b/>
        <u/>
        <sz val="8"/>
        <rFont val="Arial"/>
        <family val="2"/>
      </rPr>
      <t xml:space="preserve">11-11-2019 </t>
    </r>
    <r>
      <rPr>
        <sz val="8"/>
        <rFont val="Arial"/>
        <family val="2"/>
      </rPr>
      <t>Dos meses, a partir de la firma de la adenda al contrato de administración de recursos, para la ejecución de las obras faltantes</t>
    </r>
    <r>
      <rPr>
        <b/>
        <u/>
        <sz val="8"/>
        <rFont val="Arial"/>
        <family val="2"/>
      </rPr>
      <t>, 11-05-2020</t>
    </r>
    <r>
      <rPr>
        <sz val="8"/>
        <rFont val="Arial"/>
        <family val="2"/>
      </rPr>
      <t xml:space="preserve"> Ocho  meses (incluyendo los dos meses anteriores), a partir de la firma de la adenda al contrato de administración de recursos, para la formalización y entrega de las viviendas,  </t>
    </r>
    <r>
      <rPr>
        <b/>
        <u/>
        <sz val="8"/>
        <rFont val="Arial"/>
        <family val="2"/>
      </rPr>
      <t>11-08-2020</t>
    </r>
    <r>
      <rPr>
        <sz val="8"/>
        <rFont val="Arial"/>
        <family val="2"/>
      </rPr>
      <t xml:space="preserve"> Once meses (incluyendo los ocho meses anteriores), a partir de la firma de la adenda al contrato de administración de recursos, para la entrega del cierre técnico y financiero del proyecto, según ac 12/65-2019 del 26-08-2019 (firmado el 11-09-2019)</t>
    </r>
  </si>
  <si>
    <t>Valladolid (S-002 con retención)</t>
  </si>
  <si>
    <t>8/4/2019 13-05-2019</t>
  </si>
  <si>
    <t>Costa Verde (S-002 con retención)</t>
  </si>
  <si>
    <t>Buena Vista (Llave en Mano)</t>
  </si>
  <si>
    <t>24/6/2019 16/09/2019</t>
  </si>
  <si>
    <t>Las Palmas (S-002 con retención)</t>
  </si>
  <si>
    <t>19/12/2019 09/03/2020</t>
  </si>
  <si>
    <t>Bonos Territorio indigena Bribrí de Talamanca- Aditica  Somabacu</t>
  </si>
  <si>
    <t>17-02-2020</t>
  </si>
  <si>
    <t>El Colono</t>
  </si>
  <si>
    <t>Gran Sol II</t>
  </si>
  <si>
    <t>El Huerto (CLYC)</t>
  </si>
  <si>
    <t>19-04-04 y 17-05-05</t>
  </si>
  <si>
    <t>El Cacao (Llave en mano)</t>
  </si>
  <si>
    <t>El Cacao II (Llave en mano)</t>
  </si>
  <si>
    <t>13-02-08 y 17-03-08</t>
  </si>
  <si>
    <t>Brunka (Llave en mano)</t>
  </si>
  <si>
    <t>13-08-08 y 03-12-08</t>
  </si>
  <si>
    <t>Villa Lorena (Llave en mano)</t>
  </si>
  <si>
    <t>Los Reyes (llave en mano)</t>
  </si>
  <si>
    <t>26-01-09, 23-02-09, 10-06-09</t>
  </si>
  <si>
    <t>Socorro de Brunka (casos individuales)</t>
  </si>
  <si>
    <t>Villa Lorena (casos individuales).  Parte Cinchona</t>
  </si>
  <si>
    <t>19-08-09. 24-08-09. 07-09-09. 09-09-09</t>
  </si>
  <si>
    <t>Potrero Grande (llave en mano)</t>
  </si>
  <si>
    <t>19-10-09 22-08-11</t>
  </si>
  <si>
    <t>Barrigones (casos individuales) Retención.</t>
  </si>
  <si>
    <t>San Luis (llave en mano)</t>
  </si>
  <si>
    <t>San Antonio (llave en mano)</t>
  </si>
  <si>
    <t>Puerto Escondido (casos individuales) Retención.</t>
  </si>
  <si>
    <t>La Palma (casos individuales) Retención.</t>
  </si>
  <si>
    <t>Nueva Alianza (casos individuales con retención)</t>
  </si>
  <si>
    <t>Emmanuelle (casos individuales con retención)</t>
  </si>
  <si>
    <t>20-12-12 11-02-13</t>
  </si>
  <si>
    <t>Santa Martha del Sur (casos individuales con retención y giro de las viviendas contra avance de obras)</t>
  </si>
  <si>
    <t>Las Terrazas (casos individuales con retención y giro de las viviendas contra avance de obras)</t>
  </si>
  <si>
    <t>Palma Real (casos individuales con retención y giro de las viviendas contra avance de obras)</t>
  </si>
  <si>
    <t>La Puna (casos individuales con retención y giro de las viviendas contra avance de obras)</t>
  </si>
  <si>
    <t>05/05/2014 01-09-14</t>
  </si>
  <si>
    <t>Los Pinos (casos individuales con retención y giro de las viviendas contra avance de obras)</t>
  </si>
  <si>
    <t>El Cementerio (Llave en Mano)</t>
  </si>
  <si>
    <t>10-11-14 22-06-15 09-05-16</t>
  </si>
  <si>
    <t>Londres (Casos individuales con retención de las pruebas de laboratorio).  Todo Emergencia Tomas.</t>
  </si>
  <si>
    <t>Juan Pablo II (S-002 con retención)</t>
  </si>
  <si>
    <t>San Pablo (Llave en Mano)</t>
  </si>
  <si>
    <t>07/05/2018 05/07/18  19-07-18 21-01-2019</t>
  </si>
  <si>
    <r>
      <rPr>
        <b/>
        <u/>
        <sz val="8"/>
        <rFont val="Arial"/>
        <family val="2"/>
      </rPr>
      <t xml:space="preserve">18-05-2020 </t>
    </r>
    <r>
      <rPr>
        <sz val="8"/>
        <rFont val="Arial"/>
        <family val="2"/>
      </rPr>
      <t>Siete meses (incluidos los tres meses anteriores) para la ejecución de las obras, a partir de la firma de la adenda al contrato, según Ac 10/70-2019 del 09-09-2019 (firmado el 18-09-2019)</t>
    </r>
  </si>
  <si>
    <t>17/9/2019 16/09/2019 09/03/2020</t>
  </si>
  <si>
    <r>
      <t xml:space="preserve"> 06-02-2020 Seis meses adicionales para la construcción y  entrega (incluidos los tres meses anteriores) a partir de la firma de la adenda al contrato, según Ac 6/50-2019 del 01-07-2019 (firmado el 06-08-2019). </t>
    </r>
    <r>
      <rPr>
        <b/>
        <u/>
        <sz val="8"/>
        <rFont val="Arial"/>
        <family val="2"/>
      </rPr>
      <t>20-04-2020</t>
    </r>
    <r>
      <rPr>
        <sz val="8"/>
        <rFont val="Arial"/>
        <family val="2"/>
      </rPr>
      <t xml:space="preserve">  para la formalización, según Ac 6/19-2020 del 09-03-2020.</t>
    </r>
  </si>
  <si>
    <t>Garabito (CLYC)</t>
  </si>
  <si>
    <t>Abanico (llave en mano).  Parte Cinchona</t>
  </si>
  <si>
    <t>20-05-09. 08-07-09. 24-08-09.  07-10-09. 17-02-10.  17-03-10</t>
  </si>
  <si>
    <t>Villa Tiberias (llave en mano)(Parte Cinchona)</t>
  </si>
  <si>
    <t>02-12-09. 11-12-09.  25-01-10.  10-03-10.  21-04-10.  26-04-10. 05-05-10. 19-07-10 11-10-10 20-12-10</t>
  </si>
  <si>
    <t>Los Cedros (llave en mano)</t>
  </si>
  <si>
    <t>05-05-10 05-08-10 16-08-10 04-10-10 19-12-11</t>
  </si>
  <si>
    <t>05-08-10 16-08-10</t>
  </si>
  <si>
    <t>La Pradera (llave en mano)</t>
  </si>
  <si>
    <t>30-08-10. 13-09-10. 04-10-10. 01-11-10. 20-12-10</t>
  </si>
  <si>
    <t>30-08-10 28-03-11</t>
  </si>
  <si>
    <t>El Molino (llave en mano)</t>
  </si>
  <si>
    <t>04-10-10</t>
  </si>
  <si>
    <t>Matapalo (casos individuales con retención)</t>
  </si>
  <si>
    <t>20-12-10</t>
  </si>
  <si>
    <t>23-05-11 28-07-11</t>
  </si>
  <si>
    <t>Los Cedros II (llave en mano)</t>
  </si>
  <si>
    <t>23-05-11 19-12-11</t>
  </si>
  <si>
    <t>23-05-11  06-06-13 07-10-13</t>
  </si>
  <si>
    <t>El Parque (llave en mano)</t>
  </si>
  <si>
    <t>01-08-11 10-10-11 19-12-11</t>
  </si>
  <si>
    <t>Kilómetro 37 (llave en mano)</t>
  </si>
  <si>
    <t>21/05/2012 05-12-12 09-09-13</t>
  </si>
  <si>
    <t>Nuevo Pital (Casos individuales con retención)</t>
  </si>
  <si>
    <t>El Sol (Llave en Mano)</t>
  </si>
  <si>
    <t>05/12/2012 17-12-12</t>
  </si>
  <si>
    <t>Las Vueltas-La Cruz (Llave en mano)</t>
  </si>
  <si>
    <t>17-12-12 09-09-13</t>
  </si>
  <si>
    <t>30-09-13 07-10-13 18-11-13</t>
  </si>
  <si>
    <t>El Jobo (Llave en mano)</t>
  </si>
  <si>
    <t>14/10/2013 18-11-13</t>
  </si>
  <si>
    <t>Vainilla (Llave en Mano)</t>
  </si>
  <si>
    <t>01/12/2014 20-04-15</t>
  </si>
  <si>
    <t>Katira II.  Llave en mano.  Presupuesto 2014  y 2015 asignado.  Disponibilidad Impuesto Solidario.</t>
  </si>
  <si>
    <t>28/01/2015 15-06-15 12-11-15 18-02-16</t>
  </si>
  <si>
    <t>Santa Lucía (Llave en mano)</t>
  </si>
  <si>
    <t>La Torre (Llave en Mano)</t>
  </si>
  <si>
    <t>07/01/2016 14-03-16 09-05-16</t>
  </si>
  <si>
    <t>Perfil Parque Amarillo (Bono Colectivo).</t>
  </si>
  <si>
    <t>18/07/2016 04-12-17</t>
  </si>
  <si>
    <t>PICA (Llave en Mano)</t>
  </si>
  <si>
    <t>16/02/2017 19-03-18</t>
  </si>
  <si>
    <t>Perfil Parque Los Chiles (sólo BC)</t>
  </si>
  <si>
    <t>02-10-17 21-12-17</t>
  </si>
  <si>
    <t>Gallardo (Llave en Mano)</t>
  </si>
  <si>
    <t>9/4/2018 12/08/2019 09/09/2019</t>
  </si>
  <si>
    <r>
      <rPr>
        <u/>
        <sz val="8"/>
        <rFont val="Arial"/>
        <family val="2"/>
      </rPr>
      <t xml:space="preserve">03-09-2019 </t>
    </r>
    <r>
      <rPr>
        <sz val="8"/>
        <rFont val="Arial"/>
        <family val="2"/>
      </rPr>
      <t xml:space="preserve">  Tres meses adicionales para la formalización y entrega de la viviendas pendientes,  a partir de la firma de la adenda al contrato, según Ac 9/40-2019 del 27-05-2019 (firmado el 03-06-2019). </t>
    </r>
    <r>
      <rPr>
        <b/>
        <u/>
        <sz val="8"/>
        <rFont val="Arial"/>
        <family val="2"/>
      </rPr>
      <t>23-12-2019</t>
    </r>
    <r>
      <rPr>
        <sz val="8"/>
        <rFont val="Arial"/>
        <family val="2"/>
      </rPr>
      <t xml:space="preserve">   Tres meses adicionales para la formalización y entrega de la viviendas pendientes,  a partir de la firma de la adenda al contrato, según Ac 7/70-2019 del 09-09-2019 (firmado el 23-09-2019)</t>
    </r>
  </si>
  <si>
    <r>
      <rPr>
        <u/>
        <sz val="8"/>
        <rFont val="Arial"/>
        <family val="2"/>
      </rPr>
      <t>03-09-2019</t>
    </r>
    <r>
      <rPr>
        <sz val="8"/>
        <rFont val="Arial"/>
        <family val="2"/>
      </rPr>
      <t xml:space="preserve"> Tres meses adicionales para la formalización y entrega de la viviendas pendientes y </t>
    </r>
    <r>
      <rPr>
        <u/>
        <sz val="8"/>
        <rFont val="Arial"/>
        <family val="2"/>
      </rPr>
      <t>03-12-2019</t>
    </r>
    <r>
      <rPr>
        <sz val="8"/>
        <rFont val="Arial"/>
        <family val="2"/>
      </rPr>
      <t xml:space="preserve"> Seis meses adicionales para la entrega del cierre técnico y financiero,  a partir de la firma de la adenda al contrato, según Ac 9/40-2019 del 27-05-2019 (firmado el 03-06-2019).</t>
    </r>
    <r>
      <rPr>
        <b/>
        <u/>
        <sz val="8"/>
        <rFont val="Arial"/>
        <family val="2"/>
      </rPr>
      <t xml:space="preserve"> 23-12-2019</t>
    </r>
    <r>
      <rPr>
        <sz val="8"/>
        <rFont val="Arial"/>
        <family val="2"/>
      </rPr>
      <t xml:space="preserve">   Tres meses adicionales para la formalización y entrega de la viviendas pendientes y </t>
    </r>
    <r>
      <rPr>
        <b/>
        <u/>
        <sz val="8"/>
        <rFont val="Arial"/>
        <family val="2"/>
      </rPr>
      <t>23-03-2020</t>
    </r>
    <r>
      <rPr>
        <sz val="8"/>
        <rFont val="Arial"/>
        <family val="2"/>
      </rPr>
      <t xml:space="preserve"> Seis meses (incluyendo los tres meses anteriores), para la entrega del cierre técnico y financiero ,  a partir de la firma de la adenda al contrato, según Ac 7/70-2019 del 09-09-2019 (firmado el 23-09-2019)</t>
    </r>
  </si>
  <si>
    <r>
      <rPr>
        <u/>
        <sz val="8"/>
        <rFont val="Arial"/>
        <family val="2"/>
      </rPr>
      <t>30-08-2019</t>
    </r>
    <r>
      <rPr>
        <sz val="8"/>
        <rFont val="Arial"/>
        <family val="2"/>
      </rPr>
      <t xml:space="preserve"> Tres meses adicionales para la formalización y entrega de la viviendas pendientes,  a partir de la firma de la adenda al contrato, según Ac 8/40-2019 del 27-05-2019 (firmado el 30-05-2019)</t>
    </r>
  </si>
  <si>
    <r>
      <rPr>
        <u/>
        <sz val="8"/>
        <rFont val="Arial"/>
        <family val="2"/>
      </rPr>
      <t>30-08-2019</t>
    </r>
    <r>
      <rPr>
        <sz val="8"/>
        <rFont val="Arial"/>
        <family val="2"/>
      </rPr>
      <t xml:space="preserve"> Tres meses adicionales para la formalización y entrega de la viviendas pendientes y  </t>
    </r>
    <r>
      <rPr>
        <u/>
        <sz val="8"/>
        <rFont val="Arial"/>
        <family val="2"/>
      </rPr>
      <t>30-11-2019</t>
    </r>
    <r>
      <rPr>
        <sz val="8"/>
        <rFont val="Arial"/>
        <family val="2"/>
      </rPr>
      <t xml:space="preserve"> Seis meses adicionales para la entrega del cierre técnico y financiero,  a partir de la firma de la adenda al contrato, según Ac 8/40-2019 del 27-05-2019 (firmado el 30-05-2019)</t>
    </r>
  </si>
  <si>
    <t>Parque Los Malinches (BC Prefactibilidad)</t>
  </si>
  <si>
    <t>Loma Linda</t>
  </si>
  <si>
    <t>03-06-2019 30-09-2019</t>
  </si>
  <si>
    <t>La Uvita (Llave en mano)</t>
  </si>
  <si>
    <t>3-12-08, 11-12-08, 15-12-08, 13-05-09, 27-07-09</t>
  </si>
  <si>
    <t>Campo Cinco (Llave en mano)</t>
  </si>
  <si>
    <t>La Mascota (Llave en mano)</t>
  </si>
  <si>
    <t>Las Palmas (Llave en mano en Nambí)</t>
  </si>
  <si>
    <t>20-04-09, 01-06-09, 13-07-09, 10-08-09, 19-08-09, 09-09-09</t>
  </si>
  <si>
    <t>Copal (Llave en mano)</t>
  </si>
  <si>
    <t>20-04-09. 24-08-09.  09-11-09</t>
  </si>
  <si>
    <t>Veracruz Los Chiles (llave en mano)</t>
  </si>
  <si>
    <t>23-09-09. 21-04-10</t>
  </si>
  <si>
    <t>05-04-10. 07-05-10</t>
  </si>
  <si>
    <t>La Flor (llave en mano)</t>
  </si>
  <si>
    <t>19-04-10. 26-04-10. 03-05-10 06-05-19</t>
  </si>
  <si>
    <t>09-04-10  28-04-10 28-10-13 03-02-14</t>
  </si>
  <si>
    <t>26-04-10 03-05-10 05-05-10 16-08-10 23-05-11 28-07-11 19-12-11 18-06-12 27-08-12 07-10-13 18-08-14</t>
  </si>
  <si>
    <t>Los Mangos (llave en mano).  Con retención solicitada por Juan de Dios Rojas.</t>
  </si>
  <si>
    <t>Veracruz Los Chiles (casos individuales con retención)</t>
  </si>
  <si>
    <t>La Palma (Llave en mano en Colorado)</t>
  </si>
  <si>
    <t>28-03-11.  12-04-11 30-01-12</t>
  </si>
  <si>
    <t>Bethel (casos individuales compra de vivienda existente)</t>
  </si>
  <si>
    <t>04/04/2013 17-06-13</t>
  </si>
  <si>
    <t>11-11-16 según el ac. 15/30-16 del 05-05-16.  30-06-17 según ac. 13/22-17 del 27-03-17.  30-12-17 según ac. 13/63-17 del 04-09-17.  28-02-19 para la formalización y entrega de la viviendas, según ac. 5/61-2018 del 22-10-18. 31-05-19 para la formalización y entrega de la viviendas, según ac. 4/22-2019 del 18-03-2019</t>
  </si>
  <si>
    <r>
      <t xml:space="preserve">11-11-16 según el ac. 15/30-16 del 05-05-16.  30-06-17 según ac. 13/22-17 del 27-03-17.  30-12-17 y 30-01-2018 según ac. 13/63-17 del 04-09-17. 28-02-19 para la formalización y entrega de la viviendas y 31-05-19 para el cierre técnico y financiero, según ac. 5/61-2018 del 22-10-18. 31-05-19 para la formalización y entrega del proyecto y 30/08/2019 para la presentación del cierre técnicp y financiero del proyecto, según ac. 4/22-2019 del 18-03-2019. </t>
    </r>
    <r>
      <rPr>
        <b/>
        <u/>
        <sz val="8"/>
        <rFont val="Arial"/>
        <family val="2"/>
      </rPr>
      <t>14-02-2020</t>
    </r>
    <r>
      <rPr>
        <sz val="8"/>
        <rFont val="Arial"/>
        <family val="2"/>
      </rPr>
      <t xml:space="preserve"> Tres meses para la liquidación y ejecución del cierre técnico y financiero del poryecto, a partir de la firma del nuevo contrato, según ac 7/82-2019 del 21-10-2019 (firmado el 14-11-2019)</t>
    </r>
  </si>
  <si>
    <t>San Jorge.  Llave en Mano (presupuesto 2014 y 2015 asignado)</t>
  </si>
  <si>
    <t>09-02-15 22-06-15 12-11-15</t>
  </si>
  <si>
    <t>Coopemex RL</t>
  </si>
  <si>
    <t>Petrona Cárcamo (llave en mano)</t>
  </si>
  <si>
    <t>13-07-09. 15-07-09.  19-08-09</t>
  </si>
  <si>
    <t>Subtotal Coopemex RL</t>
  </si>
  <si>
    <t>Coopeservidores RL</t>
  </si>
  <si>
    <t>María Auxiliadora (llave en mano)</t>
  </si>
  <si>
    <t>28-05-12 15-04-13</t>
  </si>
  <si>
    <t>Llano Grande (llave en mano)</t>
  </si>
  <si>
    <t>Aserrí (llave en mano)</t>
  </si>
  <si>
    <t>Subtotal Coopeservidores RL</t>
  </si>
  <si>
    <t>03/11/2014 17-08-15</t>
  </si>
  <si>
    <t>PROYECTO TERRITORIO INDÍGENA CABECAR DE ALTO CHIRRIPO</t>
  </si>
  <si>
    <t>ASEDEMASA</t>
  </si>
  <si>
    <t>Santa Rosa de Pocosol</t>
  </si>
  <si>
    <t>Subtotal Asedemasa</t>
  </si>
  <si>
    <t>PRESUPUESTO 2021</t>
  </si>
  <si>
    <t>de Enero a Marzo de 2021</t>
  </si>
  <si>
    <t>INFORME DE CUMPLIMIENTO DEL PLAN DE TRABAJO DEL PERIODO 2021</t>
  </si>
  <si>
    <t>AL 31 DE MARZO DEL 2021</t>
  </si>
  <si>
    <t>Ejecución Presupuestaria BANHVI 2021 - Mensual por Producto  al 31/03/2021</t>
  </si>
  <si>
    <t>Ejecución Presupuestaria BANHVI 2021 - Mensual por Producto  Vs Programación al 31/03/2021 - Bonos FORMALIZADOS</t>
  </si>
  <si>
    <t>Ejecución Presupuestaria BANHVI 2021 - Mensual por Producto  Vs Programación al 31/03/2021 - Bonos ENTREGADOS</t>
  </si>
  <si>
    <t>Bonos desembolsados al 31/03/2021 por PROVINCIA y CANTON</t>
  </si>
  <si>
    <t>RÍO CUARTO</t>
  </si>
  <si>
    <t>Ejecución Presupuesto BANHVI 2021</t>
  </si>
  <si>
    <t>INFORME DE LIQUIDACION DEL PRESUPUESTO DEL AÑO 2021</t>
  </si>
  <si>
    <t>de 01 de Enero al 31 de Marzo de 2021</t>
  </si>
  <si>
    <t>Total Presupuesto 2021</t>
  </si>
  <si>
    <t>Recursos FODESAF disponibles 2021</t>
  </si>
  <si>
    <t>Compromisos 2020. recursos disponibles al 31/12/2020</t>
  </si>
  <si>
    <t>Sub-total Ingresos 2024</t>
  </si>
  <si>
    <t>Otros ingresos 2021</t>
  </si>
  <si>
    <t>Total Recursos disponibles en el 2021</t>
  </si>
  <si>
    <t>Total recursos girados 2021</t>
  </si>
  <si>
    <t>Diferencia Ingresos - Egresos (Saldo por ejecutar al 31/03/2021)</t>
  </si>
  <si>
    <t>NOTAS: Compromisos 2020 corresponden a bonos Ordinarios y Artículo 59 emitidos y/o aprobados que quedaron pendientes de desembolsar al cierre del año anterior. No incluye recursos de Bono Colectivo, Junta de Protección Social, Comisión Nacional de Emergencias, Ministerio de Hacienda . Los Egresos se registran sobre la base de Efectivo de acuerdo con formato de la Contraloría General de la República.</t>
  </si>
  <si>
    <t>Se entregaron 4.781 de subsidios de vivienda  para un cumplimiento de 56.8% del Año.</t>
  </si>
  <si>
    <t>8.417 soluciones de vivienda a las familias en condiciones de pobreza y pobreza extrema, con énfasis en los grupos más vulnerables</t>
  </si>
  <si>
    <t>Se logró una ejecución de 57,8% con respecto a lo programado para el 2021. No obstante, debido al recorte presupuestario para este año, la ejecución va a ir disninuyendo durante los próximos trimestres, ya que la mayor parte de los bonos "entregados" en el primer trimestre se formalizaron y pagaron el año anterior. Al cierre del primer trimestre de este año quedaron 4.276 bonos pagados en distintas etapas del proceso constructivo, así como 2.788 bonos emitidos pendientes de formalizar y pagar, cantidad que representan una disminución del 26% con respecto a la canitdad de bonos que quedaron emitidos pendientes de pagar a la misma fecha del año anterior.</t>
  </si>
  <si>
    <t>15-04-13 (Perfil).  28-09-17 (Financiamiento) 17-06-2019 16-04-2020 30-04-2020 25-05-2020</t>
  </si>
  <si>
    <r>
      <t>10/06/2019 para concluir tramitología y hasta el 06-01-2010 para la construcción y 06-04-2020 para el cierre técnico y financiero, según ac 10/63-2018 del 29-10-2018.
a)27 días naturales para el trámite del permiso municipal (</t>
    </r>
    <r>
      <rPr>
        <b/>
        <u/>
        <sz val="8"/>
        <rFont val="Arial"/>
        <family val="2"/>
      </rPr>
      <t>vencidos el 11 de febrero de 2020</t>
    </r>
    <r>
      <rPr>
        <sz val="8"/>
        <rFont val="Arial"/>
        <family val="2"/>
      </rPr>
      <t xml:space="preserve">).  b) </t>
    </r>
    <r>
      <rPr>
        <b/>
        <u/>
        <sz val="8"/>
        <rFont val="Arial"/>
        <family val="2"/>
      </rPr>
      <t>29-01-2021</t>
    </r>
    <r>
      <rPr>
        <sz val="8"/>
        <rFont val="Arial"/>
        <family val="2"/>
      </rPr>
      <t xml:space="preserve"> 175 días hábiles para las obras constructivas.
c) </t>
    </r>
    <r>
      <rPr>
        <b/>
        <u/>
        <sz val="8"/>
        <rFont val="Arial"/>
        <family val="2"/>
      </rPr>
      <t>29-04-2021</t>
    </r>
    <r>
      <rPr>
        <sz val="8"/>
        <rFont val="Arial"/>
        <family val="2"/>
      </rPr>
      <t xml:space="preserve"> 90 días naturales para el cierre técnico y financiero del proyecto, según ac 1/27-2020 del 16-04-2020. 
Hasta el </t>
    </r>
    <r>
      <rPr>
        <b/>
        <u/>
        <sz val="8"/>
        <rFont val="Arial"/>
        <family val="2"/>
      </rPr>
      <t>04 de marzo de 2021</t>
    </r>
    <r>
      <rPr>
        <sz val="8"/>
        <rFont val="Arial"/>
        <family val="2"/>
      </rPr>
      <t xml:space="preserve">, para la finalización de las obras. y • Hasta el </t>
    </r>
    <r>
      <rPr>
        <b/>
        <u/>
        <sz val="8"/>
        <rFont val="Arial"/>
        <family val="2"/>
      </rPr>
      <t>04 de junio de 2021</t>
    </r>
    <r>
      <rPr>
        <sz val="8"/>
        <rFont val="Arial"/>
        <family val="2"/>
      </rPr>
      <t>, para la entrega del cierre técnico y financiero final, seg ac 5/13-2021 del 15-02-2021.</t>
    </r>
  </si>
  <si>
    <r>
      <t xml:space="preserve">26-11-15 según Ac. 7/42-15 del 13-07-15.  26-10-16 según ac. 11/79-15 del 14-12-15.  26-03-17 según ac. 9/26-16 del 18-04-16. 26-09-17 según ac. 17/10-17 del 06-02-17.  30-11-17 para formalización y 31-12-17 para cierre técnico y financiero según ac. 14/62-17 del 28-08-17.  30-12-17 para formalización y cierre técnico según ac. 10/78-17 del 30-10-17.  28-02-18 para formalización y 31-03-18 para cierre técnico y financiero según ac. 16/90-17 del 11-12-17.   30-05-18 para cierre técnico y financiero según ac. 19/11-18 del 19-02-18.  30-06-2018 formalización y 30-07-18 para cierre técnico y financiero según ac. 10/25-18 del 16-07-18. 30-10-18 formalización y 30-01-2019 para el cierre financiero , según ac. 36/35-18 del 16-07-18. 30-12-18 para formalización y 30-03-19 para cierre técnico y financiero según ac. 8/46-18 del 27-08-18. 15-03-19 para concluir el proceso de entrega del proyecto y 15-06-19 para el cierre técnico y financiero, según ac. 6/75-2018 del 10-12-2018. </t>
    </r>
    <r>
      <rPr>
        <u/>
        <sz val="8"/>
        <rFont val="Arial"/>
        <family val="2"/>
      </rPr>
      <t>23-09-2019</t>
    </r>
    <r>
      <rPr>
        <sz val="8"/>
        <rFont val="Arial"/>
        <family val="2"/>
      </rPr>
      <t xml:space="preserve"> Dos meses al  contrato de administraciónn de recursos del proyecto, a partir de la firma de la adenda, según ac 6/52-2019 del 08-07-2019 (firmado el 23-07-2019).</t>
    </r>
    <r>
      <rPr>
        <b/>
        <sz val="8"/>
        <rFont val="Arial"/>
        <family val="2"/>
      </rPr>
      <t xml:space="preserve"> </t>
    </r>
    <r>
      <rPr>
        <b/>
        <u/>
        <sz val="8"/>
        <rFont val="Arial"/>
        <family val="2"/>
      </rPr>
      <t>23-04-2020</t>
    </r>
    <r>
      <rPr>
        <sz val="8"/>
        <rFont val="Arial"/>
        <family val="2"/>
      </rPr>
      <t xml:space="preserve"> Siete meses para la entrega de las áreas públicas y la recepción de la planta de tratamiento de aguas residuales y </t>
    </r>
    <r>
      <rPr>
        <b/>
        <u/>
        <sz val="8"/>
        <rFont val="Arial"/>
        <family val="2"/>
      </rPr>
      <t>23-07-2020</t>
    </r>
    <r>
      <rPr>
        <sz val="8"/>
        <rFont val="Arial"/>
        <family val="2"/>
      </rPr>
      <t xml:space="preserve"> Diez meses (incluidos los siete meses anteriores), para la entrega del cierre técnico y financiero del proyecto , a partir de la firma de las adenda al contrato de administración, según ac 9/70-2019 del 09-09-2019 (firmado el 23-09-2019). </t>
    </r>
    <r>
      <rPr>
        <b/>
        <u/>
        <sz val="8"/>
        <rFont val="Arial"/>
        <family val="2"/>
      </rPr>
      <t>xx-xx-xxxx</t>
    </r>
    <r>
      <rPr>
        <sz val="8"/>
        <rFont val="Arial"/>
        <family val="2"/>
      </rPr>
      <t xml:space="preserve"> siete meses, a partir de la firma del nuevo contrato de administración de recursos, para el traspaso de las áreas públicas y la planta de tratamiento de aguas residuales (PTAR) a los entes competentes, y la entrega del cierre técnico y financiero del proyecto,  según ac 4/62-2020 del 10-08-2020 (firmado el xx-xx-xx).</t>
    </r>
  </si>
  <si>
    <t>28-01-15 14-12-15 26-09-16 03-10-16 24-10-16 06-03-17 14-08-17 14-08-17 25-09-17 06-11-17 05-11-18 04-02-2019 29-06-2020</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</si>
  <si>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y 30-12-18 para cierre técnico y financiero según ac. 44/32-18 del 05-07-18. 30-03-2019 para formalización y 30-06-2019 para cierre técnico  y financiero  según ac. 8/65-18 del 05-11-18. 30-04-2019 para formalización  y 30-07-2019, para el cierre técnico y financiero del proyecto según ac. 3/22-2019 del 18-03-2019. 30-07-2019 para la sustitución formalización y entrega de la vivienda pendiente y 30-08-2019 para la entrega del cierre técnico,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 xml:space="preserve">). </t>
    </r>
    <r>
      <rPr>
        <b/>
        <u/>
        <sz val="8"/>
        <rFont val="Arial"/>
        <family val="2"/>
      </rPr>
      <t>10-10-2020</t>
    </r>
    <r>
      <rPr>
        <sz val="8"/>
        <rFont val="Arial"/>
        <family val="2"/>
      </rPr>
      <t xml:space="preserve"> tres meses al contrato de administración de recursos del proyecto María Fernanda, a partir de la firma del nuevo contrato, para realizar el proceso de financiamiento adicional, liberación de garantías y entrega de la liquidación técnica y financiera, según ac 11/49-2020 del 29-06-2020 (firmado el 10-07-2020)</t>
    </r>
  </si>
  <si>
    <r>
      <t xml:space="preserve">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 </t>
    </r>
    <r>
      <rPr>
        <b/>
        <u/>
        <sz val="8"/>
        <rFont val="Arial"/>
        <family val="2"/>
      </rPr>
      <t>04-11-2020</t>
    </r>
    <r>
      <rPr>
        <sz val="8"/>
        <rFont val="Arial"/>
        <family val="2"/>
      </rPr>
      <t xml:space="preserve"> Doce meses para el proyecto, a partir de la firma del contrato, según acuerdo 10/74-2019 del 23-09-2019 (firmado el 04-11-2019). </t>
    </r>
    <r>
      <rPr>
        <b/>
        <u/>
        <sz val="8"/>
        <rFont val="Arial"/>
        <family val="2"/>
      </rPr>
      <t>02/09/2021</t>
    </r>
    <r>
      <rPr>
        <sz val="8"/>
        <rFont val="Arial"/>
        <family val="2"/>
      </rPr>
      <t xml:space="preserve"> siete meses al contrato de administración de recursos, a partir de la firma de la prórroga al contrato del proyecto, según acuerdo 13/90-2020 del 16-11-2020 (firmado el 02-02-2021).</t>
    </r>
  </si>
  <si>
    <t>14-12-15 18-09-17 04-11-19 18-05-2020</t>
  </si>
  <si>
    <r>
      <t xml:space="preserve">30-04-18 según ac. 10/56-17 del 07-08-17.  30-05-18 segregación, 30-11-18 formalización y 31-12-18 para cierre técnico y financiero, según ac. 20/11-18 del 19-02-18.  31-03-2019 para la formalización y hasta el 30-06-2019 para el cierre técnico y financiero,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  </t>
    </r>
    <r>
      <rPr>
        <b/>
        <u/>
        <sz val="8"/>
        <rFont val="Arial"/>
        <family val="2"/>
      </rPr>
      <t>02-01-2021</t>
    </r>
    <r>
      <rPr>
        <sz val="8"/>
        <rFont val="Arial"/>
        <family val="2"/>
      </rPr>
      <t xml:space="preserve"> un plazo adicional de siete meses a partir de la  firma del nuevo contrato de administración, para concluir las actividades pendientes y entregar el cierre técnico y financiero , según ac 6/34-2020 del 19-05-2020 (Firmado el 02-06-2020).  </t>
    </r>
    <r>
      <rPr>
        <b/>
        <u/>
        <sz val="8"/>
        <rFont val="Arial"/>
        <family val="2"/>
      </rPr>
      <t>10-01-2022</t>
    </r>
    <r>
      <rPr>
        <sz val="8"/>
        <rFont val="Arial"/>
        <family val="2"/>
      </rPr>
      <t xml:space="preserve">  un plazo adicional de once meses a partir de la  firma del nuevo contrato de administración, partir de la firma del nuevo contrato de administración de recursos, para concluir las mejoras pendientes, traspasar la Planta de Tratamiento de Aguas Residuales al Instituto Costarricense de Acueductos y Alcantarillados, y entregar el cierre técnico y financiero del citado proyecto , según ac 12/05-2021 del 18-01-2021 (Firmado el</t>
    </r>
    <r>
      <rPr>
        <b/>
        <u/>
        <sz val="8"/>
        <rFont val="Arial"/>
        <family val="2"/>
      </rPr>
      <t xml:space="preserve"> 10-02-2021</t>
    </r>
    <r>
      <rPr>
        <sz val="8"/>
        <rFont val="Arial"/>
        <family val="2"/>
      </rPr>
      <t>)</t>
    </r>
  </si>
  <si>
    <t>Parque La Libertad (BC )</t>
  </si>
  <si>
    <t>12-09-16 05-06-17 05-07-18 08-07-19 30-03-2020 23-04-2020 23-12-20</t>
  </si>
  <si>
    <t>17-10-2020 Tramitalogía y 11-11-2021 Construcción
31/03/2019 para presentar a este Banco la solicitud de no objección al financiamiento del Proyecto, según ac 46/32-2018 del 05-07-2018.</t>
  </si>
  <si>
    <t>26-09-16 19-12-16 19-02-18 09-07-18 28-07-20</t>
  </si>
  <si>
    <r>
      <t>05/07/2018 formalización y entrega y 05/08/2018 cierre financiero según ac 8/19-18 del 19/03/2018. 05/10/2018 formalización y entrega y 05/01/2019 cierre financiero según ac 45/32-18 del 05/07/2018. 05-02-2019 para la formalización y entrega y 05-05-2019 para el cierre financiero del proyecto, según ac 8/56-2018 del 01-10-2018. 05-04-2019 para la  construcción y entrega del proyecto y 05 de julio de 2019, para el cierre técnico y financiero, según ac 4/03-2019 del 14-01-2019. 05/07/2019 para la formalizacion y entrega de la vivienda faltante y 05/10/219 para la entrega del cierre técnico y financiero, según ac 12/32-2019 del 29-04-2019.</t>
    </r>
    <r>
      <rPr>
        <b/>
        <u/>
        <sz val="8"/>
        <rFont val="Arial"/>
        <family val="2"/>
      </rPr>
      <t xml:space="preserve"> 14-12-2019</t>
    </r>
    <r>
      <rPr>
        <sz val="8"/>
        <rFont val="Arial"/>
        <family val="2"/>
      </rPr>
      <t xml:space="preserve"> Dos meses para la construcción de la última, a partir de la firma del contrato de administración del proyecto, </t>
    </r>
    <r>
      <rPr>
        <b/>
        <u/>
        <sz val="8"/>
        <rFont val="Arial"/>
        <family val="2"/>
      </rPr>
      <t>14-03-2020</t>
    </r>
    <r>
      <rPr>
        <sz val="8"/>
        <rFont val="Arial"/>
        <family val="2"/>
      </rPr>
      <t xml:space="preserve"> Cinco meses, incluidos los dos anteriores para la entrega del cierre técnico y financiero, según ac 11/74-2019 del 23-09-2019 (firmado  el 14-10-2019). </t>
    </r>
    <r>
      <rPr>
        <b/>
        <u/>
        <sz val="8"/>
        <rFont val="Arial"/>
        <family val="2"/>
      </rPr>
      <t>04-12-2020</t>
    </r>
    <r>
      <rPr>
        <sz val="8"/>
        <rFont val="Arial"/>
        <family val="2"/>
      </rPr>
      <t xml:space="preserve">  tres meses al contrato de administración de recursos del proyecto Vista Real, a partir de la firma del nuevo contrato, para la entrega del cierre técnico y financiero del proyecto, según ac 11/74-2019 del 23-09-2019 (firmado  el 04-09-2020)</t>
    </r>
  </si>
  <si>
    <r>
      <t xml:space="preserve">26-10-18 para segregacióin, 19-04-19 para formalización y 19-05-19 para cierre técnico y financiero, según ac. 8/15-18 del 05-03-18. 19-08-2019 para la entrega de las áreas públicas y de servidumbre a la Municiaplaidad de Garabito y hasta el 19-11-2019 para el cierre técnico y financiero, según ac 6/26-2019 del 01-04-2019. </t>
    </r>
    <r>
      <rPr>
        <b/>
        <u/>
        <sz val="8"/>
        <rFont val="Arial"/>
        <family val="2"/>
      </rPr>
      <t>13-02-2020</t>
    </r>
    <r>
      <rPr>
        <sz val="8"/>
        <rFont val="Arial"/>
        <family val="2"/>
      </rPr>
      <t xml:space="preserve"> Cinco Meses, a partir de la firma de la adenda al contrato de administración de recursos, para la entrega y recepción de las áreas pública a la Municipalidad de Garabito y </t>
    </r>
    <r>
      <rPr>
        <b/>
        <u/>
        <sz val="8"/>
        <rFont val="Arial"/>
        <family val="2"/>
      </rPr>
      <t>13-05-2020</t>
    </r>
    <r>
      <rPr>
        <sz val="8"/>
        <rFont val="Arial"/>
        <family val="2"/>
      </rPr>
      <t xml:space="preserve"> Ocho meses (incluyendo los cinco meses anteriores), a partir de la firma de la adenda al contrato de administraciónde recursos para la entrega del cierre técnico y financiero del proyecto  , según ac 11/65-2019 del 26-08-2019 (firmado el 13-09-2019) </t>
    </r>
    <r>
      <rPr>
        <b/>
        <u/>
        <sz val="8"/>
        <rFont val="Arial"/>
        <family val="2"/>
      </rPr>
      <t>11-05-2021</t>
    </r>
    <r>
      <rPr>
        <b/>
        <sz val="8"/>
        <rFont val="Arial"/>
        <family val="2"/>
      </rPr>
      <t xml:space="preserve">  tres mesesplazo del proyecto habitacional Las Agujas, a partir de la firma de la adenda al contrato de administración de recursos, para la entrega y recepción de las áreas públicas, así como para presentar el cierre técnico y financiero del proyecto. , según ac 10/98-2020 del 14-12-2020 (firmado el </t>
    </r>
    <r>
      <rPr>
        <b/>
        <u/>
        <sz val="8"/>
        <rFont val="Arial"/>
        <family val="2"/>
      </rPr>
      <t>11-02-2021</t>
    </r>
    <r>
      <rPr>
        <b/>
        <sz val="8"/>
        <rFont val="Arial"/>
        <family val="2"/>
      </rPr>
      <t>)</t>
    </r>
  </si>
  <si>
    <t>24/10/2016 20-04-2020</t>
  </si>
  <si>
    <t>Ac 2/28-2020 del 20-04-2020 El plazo para la ejecución de los estudios de suelo es de 15 días hábiles, a partir de la orden de inicio por parte de la entidad autorizada</t>
  </si>
  <si>
    <t>Proyecto Parque Plaza León XIII, Polideportivo y La Fabiola.   Sólo BC.</t>
  </si>
  <si>
    <t>31/10/2016 01/02/2021 15/03/2021</t>
  </si>
  <si>
    <t xml:space="preserve">Ac. 35/35-17 del 16-07-2018 autoriza plazo hasta el 31-03-2019 para la presentación al Banco de la no objeción al financiamiento proyecto
</t>
  </si>
  <si>
    <r>
      <t xml:space="preserve">30-11-18 para la construcción, 30-05-2018 para la formalización de la operacionesn y 30-08-18 para el cierre técnico y financiero, según ac 5/46-2018 del 27-08-2018. 16-08-2019 para la formalización de la operaciones y la entrega de las viviendas, 16-12-2019  para la liberación de la retenciones y la entrega del cierre técnico y financiero  del proyecto, a partir de la firma de la adenda al contrato. según ac. 8/52-2019 del 08-07-2019. </t>
    </r>
    <r>
      <rPr>
        <b/>
        <u/>
        <sz val="8"/>
        <rFont val="Arial"/>
        <family val="2"/>
      </rPr>
      <t>18-02-2020</t>
    </r>
    <r>
      <rPr>
        <sz val="8"/>
        <rFont val="Arial"/>
        <family val="2"/>
      </rPr>
      <t xml:space="preserve"> Tres meses para la liquidación de las garantías y </t>
    </r>
    <r>
      <rPr>
        <b/>
        <u/>
        <sz val="8"/>
        <rFont val="Arial"/>
        <family val="2"/>
      </rPr>
      <t>18-05-2020</t>
    </r>
    <r>
      <rPr>
        <sz val="8"/>
        <rFont val="Arial"/>
        <family val="2"/>
      </rPr>
      <t xml:space="preserve"> Seis meses (incluyendo los tres meses anteriores), para la entrega del cierre técnico y financiero, según ac 12/82-2019 del 21-10-2019 (firmado el 18-11-2019). </t>
    </r>
    <r>
      <rPr>
        <b/>
        <u/>
        <sz val="8"/>
        <rFont val="Arial"/>
        <family val="2"/>
      </rPr>
      <t>18-08-2020</t>
    </r>
    <r>
      <rPr>
        <sz val="8"/>
        <rFont val="Arial"/>
        <family val="2"/>
      </rPr>
      <t xml:space="preserve"> un plazo adicional e improrrogable de tres meses, a partir de la fecha de vencimiento del contrato vigente, para la liquidación de las garantías y la entrega del cierre técnico y financiero, según ac 10/11-2020 del 10-02-2020.</t>
    </r>
    <r>
      <rPr>
        <b/>
        <u/>
        <sz val="8"/>
        <rFont val="Arial"/>
        <family val="2"/>
      </rPr>
      <t xml:space="preserve"> 07-11-2020</t>
    </r>
    <r>
      <rPr>
        <sz val="8"/>
        <rFont val="Arial"/>
        <family val="2"/>
      </rPr>
      <t xml:space="preserve"> un plazo adicional de tres meses, a partir de la firma de la adenda al contrato vigente, para la liquidación de las garantías y la entrega del cierre técnico y financiero del proyecto, según ac 6/51-2020 del 06-07-2020 (firmado el 07-08-2020). </t>
    </r>
    <r>
      <rPr>
        <b/>
        <u/>
        <sz val="8"/>
        <rFont val="Arial"/>
        <family val="2"/>
      </rPr>
      <t>17-03-2021</t>
    </r>
    <r>
      <rPr>
        <sz val="8"/>
        <rFont val="Arial"/>
        <family val="2"/>
      </rPr>
      <t xml:space="preserve"> tres meses, a partir de la firma de la adenda al contrato vigente, para la liberación de las garantías y la entrega del cierre técnico y financiero del proyecto,  según ac 9/88-2020 del 09-11-2020 (firmado el</t>
    </r>
    <r>
      <rPr>
        <b/>
        <u/>
        <sz val="8"/>
        <rFont val="Arial"/>
        <family val="2"/>
      </rPr>
      <t xml:space="preserve"> 17-12-2020</t>
    </r>
    <r>
      <rPr>
        <sz val="8"/>
        <rFont val="Arial"/>
        <family val="2"/>
      </rPr>
      <t>)</t>
    </r>
  </si>
  <si>
    <t>26/10/2017 06-11-17 05-10-20 02-11-2020</t>
  </si>
  <si>
    <r>
      <rPr>
        <b/>
        <u/>
        <sz val="8"/>
        <rFont val="Arial"/>
        <family val="2"/>
      </rPr>
      <t>(10-07-2021)</t>
    </r>
    <r>
      <rPr>
        <sz val="8"/>
        <rFont val="Arial"/>
        <family val="2"/>
      </rPr>
      <t xml:space="preserve"> siete meses al plazo del contrato de administración de recursos del proyecto Conjunto Habitacional Villas Marcel, para la segregación de las escrituras, la formalización de las operaciones y la entrega del cierre técnico-financiero, según ac 8/05-2021 del 18-01-2021 ( </t>
    </r>
    <r>
      <rPr>
        <b/>
        <sz val="8"/>
        <rFont val="Arial"/>
        <family val="2"/>
      </rPr>
      <t>firmado el 10-02-2021</t>
    </r>
    <r>
      <rPr>
        <sz val="8"/>
        <rFont val="Arial"/>
        <family val="2"/>
      </rPr>
      <t>).</t>
    </r>
  </si>
  <si>
    <r>
      <rPr>
        <b/>
        <u/>
        <sz val="8"/>
        <rFont val="Arial"/>
        <family val="2"/>
      </rPr>
      <t>06-07-2020</t>
    </r>
    <r>
      <rPr>
        <sz val="8"/>
        <rFont val="Arial"/>
        <family val="2"/>
      </rPr>
      <t xml:space="preserve">  Dos meses,  para la ejecución de la obras a partir de ls firma del nuevo contrato de administración, según ac 10/28-2020 del 20-04-2020( firmado el 06-05-2020)</t>
    </r>
  </si>
  <si>
    <r>
      <t>06-07-2020  Dos meses,  para la ejecución de la obras a partir de ls firma del nuevo contrato de administración y</t>
    </r>
    <r>
      <rPr>
        <b/>
        <u/>
        <sz val="8"/>
        <rFont val="Arial"/>
        <family val="2"/>
      </rPr>
      <t xml:space="preserve"> 06-10-2020</t>
    </r>
    <r>
      <rPr>
        <sz val="8"/>
        <rFont val="Arial"/>
        <family val="2"/>
      </rPr>
      <t xml:space="preserve"> Cinco meses incliyendo los 2 anteriores para el cierre técnico y financiero a partir de ls firma del nuevo contrato de administración según ac 10/28-2020 del 20-04-2020( firmado el 06-05-2020). </t>
    </r>
    <r>
      <rPr>
        <b/>
        <u/>
        <sz val="8"/>
        <rFont val="Arial"/>
        <family val="2"/>
      </rPr>
      <t>10-05-2021</t>
    </r>
    <r>
      <rPr>
        <sz val="8"/>
        <rFont val="Arial"/>
        <family val="2"/>
      </rPr>
      <t xml:space="preserve">,  una prórroga de seis meses al contrato de administración de recursos, a partir de la firma de la adenda entre la entidad autorizada y el BANHVI según ac 5/78-2020 del 05-10-2020 ( firmado el </t>
    </r>
    <r>
      <rPr>
        <b/>
        <u/>
        <sz val="8"/>
        <rFont val="Arial"/>
        <family val="2"/>
      </rPr>
      <t>10-11-2020</t>
    </r>
    <r>
      <rPr>
        <sz val="8"/>
        <rFont val="Arial"/>
        <family val="2"/>
      </rPr>
      <t xml:space="preserve">)
</t>
    </r>
  </si>
  <si>
    <t>18/12/2017 26/11/2018 12/08/2019 21/10/2019 25/05/2020 15/06/2020 24/08/2020 14/12/2020 15/03/2021</t>
  </si>
  <si>
    <r>
      <t xml:space="preserve">31-07-2020, para la formalización de las operaciones, según ac.8/96-2019 del 02-12-2019.   • Hasta el </t>
    </r>
    <r>
      <rPr>
        <b/>
        <u/>
        <sz val="8"/>
        <rFont val="Arial"/>
        <family val="2"/>
      </rPr>
      <t>15 de marzo de 2021</t>
    </r>
    <r>
      <rPr>
        <sz val="8"/>
        <rFont val="Arial"/>
        <family val="2"/>
      </rPr>
      <t xml:space="preserve">, para la formalización de las 148 operaciones, según ac.3/66-2020 del 24-08-2020. </t>
    </r>
    <r>
      <rPr>
        <b/>
        <sz val="8"/>
        <rFont val="Arial"/>
        <family val="2"/>
      </rPr>
      <t>Hasta el 30 de junio de 2021, para la formalización de las operaciones., según ac.4/11-2021 del 08-02-2021</t>
    </r>
  </si>
  <si>
    <r>
      <rPr>
        <b/>
        <sz val="8"/>
        <rFont val="Arial"/>
        <family val="2"/>
      </rPr>
      <t>31-01-2020</t>
    </r>
    <r>
      <rPr>
        <sz val="8"/>
        <rFont val="Arial"/>
        <family val="2"/>
      </rPr>
      <t xml:space="preserve">, para la ejecución de las obras, </t>
    </r>
    <r>
      <rPr>
        <b/>
        <sz val="8"/>
        <rFont val="Arial"/>
        <family val="2"/>
      </rPr>
      <t>31-07-2020</t>
    </r>
    <r>
      <rPr>
        <sz val="8"/>
        <rFont val="Arial"/>
        <family val="2"/>
      </rPr>
      <t xml:space="preserve">, para la formalización de las operaciones,  </t>
    </r>
    <r>
      <rPr>
        <b/>
        <sz val="8"/>
        <rFont val="Arial"/>
        <family val="2"/>
      </rPr>
      <t>31-07-2021</t>
    </r>
    <r>
      <rPr>
        <sz val="8"/>
        <rFont val="Arial"/>
        <family val="2"/>
      </rPr>
      <t xml:space="preserve">, para la operación, mantenimiento y entrega de la PTAR  y  </t>
    </r>
    <r>
      <rPr>
        <b/>
        <sz val="8"/>
        <rFont val="Arial"/>
        <family val="2"/>
      </rPr>
      <t>31-10-2021</t>
    </r>
    <r>
      <rPr>
        <sz val="8"/>
        <rFont val="Arial"/>
        <family val="2"/>
      </rPr>
      <t xml:space="preserve">, para la entrega definitiva del cierre técnico y financiero,  según ac.8/96-2019 del 02-12-2019. Hasta el </t>
    </r>
    <r>
      <rPr>
        <b/>
        <u/>
        <sz val="8"/>
        <rFont val="Arial"/>
        <family val="2"/>
      </rPr>
      <t>31 de diciembre de 2020</t>
    </r>
    <r>
      <rPr>
        <sz val="8"/>
        <rFont val="Arial"/>
        <family val="2"/>
      </rPr>
      <t xml:space="preserve">, para la segregación, recepción y traspaso del proyecto. • Hasta el </t>
    </r>
    <r>
      <rPr>
        <b/>
        <u/>
        <sz val="8"/>
        <rFont val="Arial"/>
        <family val="2"/>
      </rPr>
      <t>15 de marzo de 2021</t>
    </r>
    <r>
      <rPr>
        <sz val="8"/>
        <rFont val="Arial"/>
        <family val="2"/>
      </rPr>
      <t xml:space="preserve">, para la formalización de las 148 operaciones. • Hasta el </t>
    </r>
    <r>
      <rPr>
        <b/>
        <u/>
        <sz val="8"/>
        <rFont val="Arial"/>
        <family val="2"/>
      </rPr>
      <t>15 de marzo de 2022</t>
    </r>
    <r>
      <rPr>
        <sz val="8"/>
        <rFont val="Arial"/>
        <family val="2"/>
      </rPr>
      <t xml:space="preserve">, para la operación y mantenimiento de la Planta de Tratamiento de Aguas Residuales. • Hasta el </t>
    </r>
    <r>
      <rPr>
        <b/>
        <u/>
        <sz val="8"/>
        <rFont val="Arial"/>
        <family val="2"/>
      </rPr>
      <t>15 de junio de 2022</t>
    </r>
    <r>
      <rPr>
        <sz val="8"/>
        <rFont val="Arial"/>
        <family val="2"/>
      </rPr>
      <t xml:space="preserve">, para la entrega del cierre técnico y financiero, según ac.3/66-2020 del 24-08-2020. </t>
    </r>
    <r>
      <rPr>
        <b/>
        <sz val="8"/>
        <rFont val="Arial"/>
        <family val="2"/>
      </rPr>
      <t>Hasta el 30 de junio de 2021, para la formalización de las operaciones.• Hasta el 30 de setiembre de 2022, para la operación, mantenimiento y entrega de la Planta deTratamiento de Aguas Residuales.• Hasta el 30 de diciembre de 2022, para la entrega del cierre técnico y financiero final., , según ac.4/11-2021 del 08-02-2021</t>
    </r>
  </si>
  <si>
    <t>21/12/2017 05/11/2018 24/08/2020</t>
  </si>
  <si>
    <r>
      <rPr>
        <b/>
        <u/>
        <sz val="8"/>
        <rFont val="Arial"/>
        <family val="2"/>
      </rPr>
      <t>15-09-2021</t>
    </r>
    <r>
      <rPr>
        <sz val="8"/>
        <rFont val="Arial"/>
        <family val="2"/>
      </rPr>
      <t xml:space="preserve"> once meses improrrogables, a partir de la firma del nuevo contrato de administración de recursos, para mantener al día el fideicomiso, construir las obras pendientes, segregar y, finalmente, formalizar las operaciones y entregar el cierre técnico y financiero, según ac. 9/74-2020 del 21-09-2020 (firmado el </t>
    </r>
    <r>
      <rPr>
        <b/>
        <u/>
        <sz val="8"/>
        <rFont val="Arial"/>
        <family val="2"/>
      </rPr>
      <t>15-10-2020</t>
    </r>
    <r>
      <rPr>
        <sz val="8"/>
        <rFont val="Arial"/>
        <family val="2"/>
      </rPr>
      <t>)</t>
    </r>
  </si>
  <si>
    <t>11/01/2018 29-01-18 05-03-18 16-04-18 25-05-2020</t>
  </si>
  <si>
    <r>
      <rPr>
        <b/>
        <u/>
        <sz val="8"/>
        <rFont val="Arial"/>
        <family val="2"/>
      </rPr>
      <t>03-12-2021</t>
    </r>
    <r>
      <rPr>
        <sz val="8"/>
        <rFont val="Arial"/>
        <family val="2"/>
      </rPr>
      <t xml:space="preserve"> un plazo adicional de diez meses, a partir de la firma de la adenda al contrato de administración de recursos entre esa mutual y el BANHVI, para la entrega y segregación de las obras, la formalización de las operaciones y la presentación del cierre técnico y financiero del proyecto, según ac 13/05-2021 del 18-01-2021 (Firmado el </t>
    </r>
    <r>
      <rPr>
        <b/>
        <u/>
        <sz val="8"/>
        <rFont val="Arial"/>
        <family val="2"/>
      </rPr>
      <t>03-02-2021</t>
    </r>
    <r>
      <rPr>
        <sz val="8"/>
        <rFont val="Arial"/>
        <family val="2"/>
      </rPr>
      <t>)</t>
    </r>
  </si>
  <si>
    <r>
      <rPr>
        <b/>
        <u/>
        <sz val="8"/>
        <rFont val="Arial"/>
        <family val="2"/>
      </rPr>
      <t>09-08-2020</t>
    </r>
    <r>
      <rPr>
        <sz val="8"/>
        <rFont val="Arial"/>
        <family val="2"/>
      </rPr>
      <t>, para liquidar los saldos pendientes de giro, liberar las garantias y entregar el cierre técnico y financiero del proyecto, según ac 9/24-2020 del 30-03-2020.</t>
    </r>
    <r>
      <rPr>
        <b/>
        <i/>
        <u/>
        <sz val="8"/>
        <rFont val="Arial"/>
        <family val="2"/>
      </rPr>
      <t>07-12-2020</t>
    </r>
    <r>
      <rPr>
        <sz val="8"/>
        <rFont val="Arial"/>
        <family val="2"/>
      </rPr>
      <t xml:space="preserve"> un plazo adicional de dos meses improrrogables, para liquidar el proyecto y entregar el cierre técnico y financiero, a partir de la firma de la adenda al contrato de administración de recursos, según ac 5/62-2020 del 10-08-2020 (firmado el 07-10-2020)</t>
    </r>
  </si>
  <si>
    <t>Capellades(Grupo de 5 a 10)</t>
  </si>
  <si>
    <r>
      <rPr>
        <b/>
        <u/>
        <sz val="8"/>
        <rFont val="Arial"/>
        <family val="2"/>
      </rPr>
      <t>xx-xx-xx</t>
    </r>
    <r>
      <rPr>
        <sz val="8"/>
        <rFont val="Arial"/>
        <family val="2"/>
      </rPr>
      <t xml:space="preserve"> un aplazo adicional e improrrogable de tres meses, a partir de la firma del contrato de administración de recursos, para la ejecución del cierre técnico y financiero, según ac 9/11-2020 del 10-02-2020 (firmado el xx-xx-xx).
</t>
    </r>
    <r>
      <rPr>
        <b/>
        <u/>
        <sz val="8"/>
        <rFont val="Arial"/>
        <family val="2"/>
      </rPr>
      <t>12-09-2021</t>
    </r>
    <r>
      <rPr>
        <sz val="8"/>
        <rFont val="Arial"/>
        <family val="2"/>
      </rPr>
      <t xml:space="preserve"> una prórroga de hasta ocho meses al plazo para la liquidación de los recursos y la entrega del cierre técnico y financiero del proyecto Monte Cristo I, a partir de la firma del contrato de administración de recursos  según ac 7/82-2020 del 19-10-2020 (firmado el 12-01-2021).</t>
    </r>
  </si>
  <si>
    <r>
      <rPr>
        <b/>
        <u/>
        <sz val="8"/>
        <rFont val="Arial"/>
        <family val="2"/>
      </rPr>
      <t>07-10-2020</t>
    </r>
    <r>
      <rPr>
        <sz val="8"/>
        <rFont val="Arial"/>
        <family val="2"/>
      </rPr>
      <t xml:space="preserve"> un plazo adicional e improrrogable de tres meses, a partir de la firma del contrato de administración de recursos, para la ejecución de las actividades pendientes y entregar el cierre técnico y financiero del proyecto, según ac 5/42-2020 del 08-06-2020 (firmado el 07-07-2020).</t>
    </r>
  </si>
  <si>
    <t>La Maravilla  (Grupo de 5 a 10)</t>
  </si>
  <si>
    <t>23/3/2020 31/08/2020</t>
  </si>
  <si>
    <t>Malinche III (Llave en Mano)</t>
  </si>
  <si>
    <t>Los Jobos (S-002 con retención)</t>
  </si>
  <si>
    <t>Josue IV (Llave en Mano)</t>
  </si>
  <si>
    <t>21/9/2020 15/10/2020 19/10/2020 09/11/2020 03/12/20</t>
  </si>
  <si>
    <t>Lotificación Miravalles II (S-002 con retención)</t>
  </si>
  <si>
    <t>Malinche IV (Llave en Mano)</t>
  </si>
  <si>
    <t>Malinche V (Llave en Mano)</t>
  </si>
  <si>
    <t>19-12-11 23-11-15 31-05-16 22-05-17 12-08-2019 22-10-2020 14-12-2020 23-12-2020</t>
  </si>
  <si>
    <t>Ampliar 25 meses el plazo del Contrato de Construcción y Administración de recursos del proyecto Limón 2000, a partir del 28 de diciembre de 2020 y según el siguiente detalle:
a) Hasta el 28 de abril de 2021, para la ejecución de las obras.
b) Hasta el 28 de octubre de 2022, para la operación y mantenimiento de la Planta de Tratamiento de Aguas Residuales (PTAR).
c) Hasta el 28 de enero de 2023, para la entrega del cierre técnico y financiero. Según Ac 3  Sesión 83-2020 del 22-10-2020</t>
  </si>
  <si>
    <t>13-05-13 28-01-15 09-05-16 02-04-2020 01-02-2021</t>
  </si>
  <si>
    <r>
      <t xml:space="preserve">24-11-14 según  ac. 3/28/14 del 24-04-14.  27-07-15 según ac. 7/01-15.  30-07-16 según ac. 17/17-16 del 07-03-16. 30-06-18  formalización y entrega de PTAR y 30-07-2018 cierre financiero según ac. 1/21-18 del 02-04-18. 30-12-18 para entregar y recepción de la planta y 30-03-2019  Cierre Financiero según ac 21/40-2018 del 06-08-2018. 01/08/2019 para la recepción de la planta de tratamiento de aguas residuales y hasta el 01/11/2019 para el cierre técnico y financiero, según ac 8/13-2019 del 18-02-2019. </t>
    </r>
    <r>
      <rPr>
        <b/>
        <u/>
        <sz val="8"/>
        <rFont val="Arial"/>
        <family val="2"/>
      </rPr>
      <t>05-06-2020</t>
    </r>
    <r>
      <rPr>
        <sz val="8"/>
        <rFont val="Arial"/>
        <family val="2"/>
      </rPr>
      <t xml:space="preserve"> Seis meses a partir  de la firma del nuevo contratom para finiquitar el traspado d ela planta de tratamiento de aguas residuales, así como para liquidar y entregar del cierre técnico y financiero, según ac 4/90-2019 del 18-11-2019 (firmado el 05-12-2019). </t>
    </r>
    <r>
      <rPr>
        <b/>
        <u/>
        <sz val="8"/>
        <rFont val="Arial"/>
        <family val="2"/>
      </rPr>
      <t>17-05-2021</t>
    </r>
    <r>
      <rPr>
        <sz val="8"/>
        <rFont val="Arial"/>
        <family val="2"/>
      </rPr>
      <t xml:space="preserve"> tres meses el plazo del contrato de administración de recursos de dicho proyecto, para la liquidación de saldos y la entrega del cierre técnico y financiero. Lo anterior, a partir de la firma del nuevo contrato de administración de recursos entre el BANHVI y la entidad autorizada, según ac 4/09-2021 del 01-02-2021 (firmado el </t>
    </r>
    <r>
      <rPr>
        <b/>
        <u/>
        <sz val="8"/>
        <rFont val="Arial"/>
        <family val="2"/>
      </rPr>
      <t>17-02-2021</t>
    </r>
    <r>
      <rPr>
        <sz val="8"/>
        <rFont val="Arial"/>
        <family val="2"/>
      </rPr>
      <t>)</t>
    </r>
  </si>
  <si>
    <t>4/5/2015 04-05-2020 02-07-2020 04-01-2021</t>
  </si>
  <si>
    <r>
      <t xml:space="preserve">26/10/18 para conclusión de obras y 26/11/2018 cierre técnico y financiero según ac. 10/17-18 del 12-03-18 Adenda firmada el 26/04/2018. 26-12-2018 para la conclusión de las obras, 26-03-2019 para la formalización y entrega de las viviendas y 26-06-2019 para la entrega del cierre técnico y financiero del citado proyecto según ac. 5/71-18 del 26-11-2018. 26/06/2019, para la formalización de las viviendas,  26/07/2019, para ejecutar las obras de interconexión de abastecimiento de agua potable del proyecto y 26/10/2019 para la presentación del cierre técnico  y financiero del proyecto, según ac 3/26-2019 del 01-04-2019. </t>
    </r>
    <r>
      <rPr>
        <b/>
        <u/>
        <sz val="8"/>
        <rFont val="Arial"/>
        <family val="2"/>
      </rPr>
      <t xml:space="preserve">17-05-2020 </t>
    </r>
    <r>
      <rPr>
        <sz val="8"/>
        <rFont val="Arial"/>
        <family val="2"/>
      </rPr>
      <t xml:space="preserve">Tres meses, a partir de la firma del nuevo contrato de administración de recursos, para finiquitar los procesos de giro de recursos pendientes de cobro, la liberación de las garantías y la ejecución del cierre técnico y financiero del prorecto, según ac 4/07-2020 del 27-01-2020 (firmado el 17-02-2020) </t>
    </r>
    <r>
      <rPr>
        <b/>
        <u/>
        <sz val="8"/>
        <rFont val="Arial"/>
        <family val="2"/>
      </rPr>
      <t>15-01-2021</t>
    </r>
    <r>
      <rPr>
        <sz val="8"/>
        <rFont val="Arial"/>
        <family val="2"/>
      </rPr>
      <t xml:space="preserve"> un plazo adicional e improrrogable de seis meses, a partir de la firma del nuevo contrato de administración de recursos, para realizar los procesos de reajustes de precios y la liquidación técnica y financiera del proyecto, según ac 3/47-2020 del 22-06-2020 (firmado el 15-07-2020)</t>
    </r>
  </si>
  <si>
    <t>06/06/2016 04-07-16 20-10-16  30-04-2020</t>
  </si>
  <si>
    <t>El plazo para la ejecución de las obras es de dos semanas, a partir de la orden de inicio de la entidad autorizada, según Ac 2 Sesión 31-2020 DEL 12-05-2020.</t>
  </si>
  <si>
    <t>Poás Identidad y Progreso ( sólo BC)</t>
  </si>
  <si>
    <t>7/11/2016 20/04/2020 12/11/2020 23/11/2020 23/12/20202 11/01/2021</t>
  </si>
  <si>
    <t>15/6/2017 21/10/2019 25/11/2019 28-07-2020 09-11-2020</t>
  </si>
  <si>
    <r>
      <t xml:space="preserve">31/01/2019 para concluir el desarrollo de las obras,  31-09-2019 para la formalización y entrega de las viviendas y hasta 31-12-2019 para el cierre técnico y financiero, según Ac9/65-18 del 05-11-2018. </t>
    </r>
    <r>
      <rPr>
        <b/>
        <u/>
        <sz val="8"/>
        <rFont val="Arial"/>
        <family val="2"/>
      </rPr>
      <t>19-11-2019</t>
    </r>
    <r>
      <rPr>
        <sz val="8"/>
        <rFont val="Arial"/>
        <family val="2"/>
      </rPr>
      <t xml:space="preserve"> Tres meses para colocar el macromedidor e interconectar el proyecto a la red de agua potable, </t>
    </r>
    <r>
      <rPr>
        <b/>
        <u/>
        <sz val="8"/>
        <rFont val="Arial"/>
        <family val="2"/>
      </rPr>
      <t>19-07-2020</t>
    </r>
    <r>
      <rPr>
        <sz val="8"/>
        <rFont val="Arial"/>
        <family val="2"/>
      </rPr>
      <t xml:space="preserve"> Once meses (incluyendo los tres meses anteriores), para la fromalizacion y entrega de la vivienda y </t>
    </r>
    <r>
      <rPr>
        <b/>
        <u/>
        <sz val="8"/>
        <rFont val="Arial"/>
        <family val="2"/>
      </rPr>
      <t>19-10-2020</t>
    </r>
    <r>
      <rPr>
        <sz val="8"/>
        <rFont val="Arial"/>
        <family val="2"/>
      </rPr>
      <t xml:space="preserve"> Catorce meses (incluyendo los once meses anteriores), para la entrega del cierre técnico y financiero del proyecto, a partir de la firma de la adenda al contrato de administración, según ac 6/56-2019 del 22-07-2019 (firmado el 19-08-2019). </t>
    </r>
    <r>
      <rPr>
        <b/>
        <u/>
        <sz val="8"/>
        <rFont val="Arial"/>
        <family val="2"/>
      </rPr>
      <t>11-03-2021</t>
    </r>
    <r>
      <rPr>
        <sz val="8"/>
        <rFont val="Arial"/>
        <family val="2"/>
      </rPr>
      <t xml:space="preserve"> Siete meses, para la firma de la adenda al Fideicomiso, la inscripción de los planos catastro, la colocación de los hidrómetros y enzacatado, limpieza, entrega y formalización de la operaciones y </t>
    </r>
    <r>
      <rPr>
        <b/>
        <u/>
        <sz val="8"/>
        <rFont val="Arial"/>
        <family val="2"/>
      </rPr>
      <t>11-07-2021</t>
    </r>
    <r>
      <rPr>
        <sz val="8"/>
        <rFont val="Arial"/>
        <family val="2"/>
      </rPr>
      <t xml:space="preserve"> Once meses, incluidos los siete meses anteriores, para la entrega del cierre técnico y financiero del proyecto partir de la firma de la adenda al contrato de administración, según ac 1/58-2020 del 28-07-2020 (firmado el 11-08-2020).  Hasta el </t>
    </r>
    <r>
      <rPr>
        <b/>
        <u/>
        <sz val="8"/>
        <rFont val="Arial"/>
        <family val="2"/>
      </rPr>
      <t>12 de julio de 2021</t>
    </r>
    <r>
      <rPr>
        <sz val="8"/>
        <rFont val="Arial"/>
        <family val="2"/>
      </rPr>
      <t xml:space="preserve">, para la formalización de las operaciones de bono pendientes. y Hasta el </t>
    </r>
    <r>
      <rPr>
        <b/>
        <u/>
        <sz val="8"/>
        <rFont val="Arial"/>
        <family val="2"/>
      </rPr>
      <t>12 de octubre de 2021</t>
    </r>
    <r>
      <rPr>
        <sz val="8"/>
        <rFont val="Arial"/>
        <family val="2"/>
      </rPr>
      <t>, para la entrega del cierre técnico y financiero del proyecto, según ac 8/21-2021 del 15-03-2021 (firmado el xx-xx-xxxx)</t>
    </r>
  </si>
  <si>
    <t>Parque Recreativo Jorge Debravo ( BC)</t>
  </si>
  <si>
    <t>11/9/2017 20/04/2020 12/11/2020 23/11/2020 23/12/2020 11/01/2021</t>
  </si>
  <si>
    <t>Paseo Ecocultural San Isidro (BC)</t>
  </si>
  <si>
    <t>22/01/2018 22/10/2018 23/12/2020</t>
  </si>
  <si>
    <t>Parque Esparcimiento La Cima (BC)</t>
  </si>
  <si>
    <t>29/01/2018 22/10/2018 08/12/2020 23/12/2020 11/01/2021</t>
  </si>
  <si>
    <r>
      <rPr>
        <b/>
        <u/>
        <sz val="8"/>
        <rFont val="Arial"/>
        <family val="2"/>
      </rPr>
      <t>20-09-2020</t>
    </r>
    <r>
      <rPr>
        <sz val="8"/>
        <rFont val="Arial"/>
        <family val="2"/>
      </rPr>
      <t>, Dos meses para la ejecución de las obras del proyecto, a partir de la firma de la adenda al contrato de administración de recursos, según ac 10/44-2020 del 15-06-2020 (firmado el 20-07-2020)</t>
    </r>
  </si>
  <si>
    <r>
      <rPr>
        <b/>
        <u/>
        <sz val="8"/>
        <rFont val="Arial"/>
        <family val="2"/>
      </rPr>
      <t>20-07-2021</t>
    </r>
    <r>
      <rPr>
        <sz val="8"/>
        <rFont val="Arial"/>
        <family val="2"/>
      </rPr>
      <t xml:space="preserve"> Doce meses (incluyendo los dos meses anteriores), para la segregación y posterior formalización de las 74 operaciones, a partir de la firma de la adenda al contrato de administración de recursos, según ac 10/44-2020 del 15-06-2020 (firmado el 20-07-2020)</t>
    </r>
  </si>
  <si>
    <r>
      <rPr>
        <b/>
        <u/>
        <sz val="8"/>
        <rFont val="Arial"/>
        <family val="2"/>
      </rPr>
      <t>20-09-2020</t>
    </r>
    <r>
      <rPr>
        <sz val="8"/>
        <rFont val="Arial"/>
        <family val="2"/>
      </rPr>
      <t xml:space="preserve">, Dos meses para la ejecución de las obras del proyecto, </t>
    </r>
    <r>
      <rPr>
        <b/>
        <u/>
        <sz val="8"/>
        <rFont val="Arial"/>
        <family val="2"/>
      </rPr>
      <t>20-07-2021</t>
    </r>
    <r>
      <rPr>
        <sz val="8"/>
        <rFont val="Arial"/>
        <family val="2"/>
      </rPr>
      <t xml:space="preserve"> Doce meses (incluyendo los dos meses anteriores), para la segregación y posterior formalización de las 74 operaciones, </t>
    </r>
    <r>
      <rPr>
        <b/>
        <u/>
        <sz val="8"/>
        <rFont val="Arial"/>
        <family val="2"/>
      </rPr>
      <t>20-10-2021</t>
    </r>
    <r>
      <rPr>
        <sz val="8"/>
        <rFont val="Arial"/>
        <family val="2"/>
      </rPr>
      <t xml:space="preserve"> Quince meses, incluidos los doce meses anteriores, para la entrega del cierre técnico y financiero. a partir de la firma de la adenda al contrato de administración de recursos, según ac 10/44-2020 del 15-06-2020 (firmado el 20-07-2020)</t>
    </r>
  </si>
  <si>
    <t>8/7/2019 15/03/2021</t>
  </si>
  <si>
    <r>
      <rPr>
        <b/>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b/>
        <u/>
        <sz val="8"/>
        <rFont val="Arial"/>
        <family val="2"/>
      </rPr>
      <t>22-02-2021</t>
    </r>
    <r>
      <rPr>
        <sz val="8"/>
        <rFont val="Arial"/>
        <family val="2"/>
      </rPr>
      <t>).</t>
    </r>
  </si>
  <si>
    <t>Juan Pablo II (maduración de proyecto)</t>
  </si>
  <si>
    <t>1/6/2020 23/11/2020 23/11/2020  14/12/2020 01/02/2021</t>
  </si>
  <si>
    <t>Nueva Angostura</t>
  </si>
  <si>
    <t>25/01/2021 15/03/2021</t>
  </si>
  <si>
    <t>10-04-07 12-11-08 23-02-09 30-05-11 30-09-13 21-04-14 03-10-16 12-10-17 22-07-19 18-01-21</t>
  </si>
  <si>
    <t>El plazo de mantenimiento y operación de la PTAR La Angosta es por 18 meses, contados a partir de la orden de inicio emitida por la entidad autorizada, según ac 11/05-2021 del 18-01-2021</t>
  </si>
  <si>
    <t>03-12-08. 01-02-10 04-06-12 31-08-15 12-09-16 27-05-19 06-07-20 23-12-20</t>
  </si>
  <si>
    <r>
      <t xml:space="preserve">07-04-16 según ac. 15/56-15 del 31-08-15.
100 días naturales, compuesto </t>
    </r>
    <r>
      <rPr>
        <b/>
        <u/>
        <sz val="8"/>
        <rFont val="Arial"/>
        <family val="2"/>
      </rPr>
      <t>29-01-2020</t>
    </r>
    <r>
      <rPr>
        <sz val="8"/>
        <rFont val="Arial"/>
        <family val="2"/>
      </rPr>
      <t xml:space="preserve"> 70 días natulares según oferta del constructor, a partie de la orden de inicio emitida por la EA, y hasta </t>
    </r>
    <r>
      <rPr>
        <b/>
        <u/>
        <sz val="8"/>
        <rFont val="Arial"/>
        <family val="2"/>
      </rPr>
      <t>28-02-2020</t>
    </r>
    <r>
      <rPr>
        <sz val="8"/>
        <rFont val="Arial"/>
        <family val="2"/>
      </rPr>
      <t xml:space="preserve"> 30 días naturales para la entrega del informe de liquidación técnica y financiera del proyecto, a partoe del termino de los 70 días naturales del plazo para la ejecución de las obras, según ac 6/40-19 del 27-05-2019.
</t>
    </r>
    <r>
      <rPr>
        <b/>
        <u/>
        <sz val="8"/>
        <rFont val="Arial"/>
        <family val="2"/>
      </rPr>
      <t>14-08-2020</t>
    </r>
    <r>
      <rPr>
        <sz val="8"/>
        <rFont val="Arial"/>
        <family val="2"/>
      </rPr>
      <t xml:space="preserve"> Un mes para la ejecución de la obras y </t>
    </r>
    <r>
      <rPr>
        <b/>
        <u/>
        <sz val="8"/>
        <rFont val="Arial"/>
        <family val="2"/>
      </rPr>
      <t>14-11-2020</t>
    </r>
    <r>
      <rPr>
        <sz val="8"/>
        <rFont val="Arial"/>
        <family val="2"/>
      </rPr>
      <t xml:space="preserve"> Cuatro meses, incluido el mes anterior, para la recepción de las obras y la entrega del cierre técnico y financiero del proyecto. El plazo para la entrega del cierre técnico y financiero del proyecto, es únicamente entre el BANHVI y la entidad autorizada. a partir de la firma del nuevo contrato de administración de recursos entre la entidad autorizada y el BANHVI, según Ac 5 Ses 51-2020 del 06-07-2020 ( firmado el </t>
    </r>
    <r>
      <rPr>
        <b/>
        <sz val="8"/>
        <rFont val="Arial"/>
        <family val="2"/>
      </rPr>
      <t>14-07-2020</t>
    </r>
    <r>
      <rPr>
        <sz val="8"/>
        <rFont val="Arial"/>
        <family val="2"/>
      </rPr>
      <t>-).</t>
    </r>
  </si>
  <si>
    <t>16-01-12  14-05-12 06-05-14 25-08-14 03-10-16 31-10-16  07-12-20</t>
  </si>
  <si>
    <t>22-04-09 30-05-11 22-08-16 27-02-17 25-09-17 02-10-17 01-10-18 29-10-18 01-03-21</t>
  </si>
  <si>
    <r>
      <t xml:space="preserve">Mantenimiento del Sistema de Tratamiento 12 meses hasta setiembre de 2017.  Reparación de tuberías un mes calendario a partir de la orden de inicio por parte de CR-CAN.  Todo lo anterior según ac. 11/16-17 del 27-02-17. 30-11-2018 para operación y mantenimiento de la estación de bombeo de la planta de tratamiento.
</t>
    </r>
    <r>
      <rPr>
        <u/>
        <sz val="8"/>
        <rFont val="Arial"/>
        <family val="2"/>
      </rPr>
      <t>La entidad autorizada deberá apegarse al cronograma presentado, para la ejecución del plan de acción dirigido a poner en marcha la estación de bombeo del proyecto, el cual establece las siguientes fechas máximas*Publicación del concurso: 14 de abril de 2021.• Envío al BANHVI de la empresa recomendada: 1° de julio de 2021.• Orden de inicio: 24 de setiembre de 2021, según ac. 10/17-2021 del 01-03-2021.</t>
    </r>
  </si>
  <si>
    <t>11-01-10  26-07-10 27-05-13 21-10-13 22-09-14 16-11-15 30-05-16 19-06-17 19-02-18 03-12-18 22-07-2019 15-06-2020 09-11-2020 11-01-2021</t>
  </si>
  <si>
    <r>
      <t xml:space="preserve">17-04-14 según ac. 10/70-13 del 07-10-13.  30-10-16 según ac. 15/37-16 del 30-05-16.  30-11-17 según ac. 14/29-17 del 26-04-17.  06-06-18 según AC 16/11-2018. 26-07-2019 para la formalización y entregas de las viviendas, según ac. 7/73-18 del 03-12-18. </t>
    </r>
    <r>
      <rPr>
        <b/>
        <u/>
        <sz val="8"/>
        <rFont val="Arial"/>
        <family val="2"/>
      </rPr>
      <t>27-04-2020</t>
    </r>
    <r>
      <rPr>
        <u/>
        <sz val="8"/>
        <rFont val="Arial"/>
        <family val="2"/>
      </rPr>
      <t xml:space="preserve"> Cinco meses para la formalización  de las operaciones del proyecto</t>
    </r>
    <r>
      <rPr>
        <sz val="8"/>
        <rFont val="Arial"/>
        <family val="2"/>
      </rPr>
      <t xml:space="preserve">,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proyecto.a partir de la firma de la adenda al contrato de administración de recursos, según ac 8/44-2020 del 15-06-2020 (firmado el 24-06-2020)</t>
    </r>
  </si>
  <si>
    <r>
      <t xml:space="preserve">17-04-14 según ac. 10/70-13 del 07-10-13.  30-10-16 según ac. 15/37-16 del 30-05-16.  30-11-17 según ac. 14/29-17 del 26-04-17. 06-06-18 para formalización y 06-07-18 para liquidación técnica y financiera según AC 16/11-2018. 26-07-2019 para la formalización y entregas de las viviendas y 26-10-19 para el cierre financiero del proyecto, según ac. 7/73-18 del 03-12-18. </t>
    </r>
    <r>
      <rPr>
        <b/>
        <u/>
        <sz val="8"/>
        <rFont val="Arial"/>
        <family val="2"/>
      </rPr>
      <t>27-04-2020</t>
    </r>
    <r>
      <rPr>
        <sz val="8"/>
        <rFont val="Arial"/>
        <family val="2"/>
      </rPr>
      <t xml:space="preserve"> Cinco meses para la formalización  de las operaciones del proyecto, </t>
    </r>
    <r>
      <rPr>
        <b/>
        <u/>
        <sz val="8"/>
        <rFont val="Arial"/>
        <family val="2"/>
      </rPr>
      <t>27-07-2020</t>
    </r>
    <r>
      <rPr>
        <sz val="8"/>
        <rFont val="Arial"/>
        <family val="2"/>
      </rPr>
      <t xml:space="preserve"> Ocho meses (incluyendo los cinco meses anteriores), para la entrega del cierre técnico y financiero del proyecto,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 y </t>
    </r>
    <r>
      <rPr>
        <b/>
        <u/>
        <sz val="8"/>
        <rFont val="Arial"/>
        <family val="2"/>
      </rPr>
      <t>24-03-2021</t>
    </r>
    <r>
      <rPr>
        <sz val="8"/>
        <rFont val="Arial"/>
        <family val="2"/>
      </rPr>
      <t xml:space="preserve"> Nueve meses (incluyendo los seis meses anteriores), para la entrega del cierre técnico y financiero del proyecto.a partir de la firma de la adenda al contrato de administración de recursos, según ac 8/44-2020 del 15-06-2020 (firmado el 24-06-2020). </t>
    </r>
    <r>
      <rPr>
        <b/>
        <u/>
        <sz val="8"/>
        <rFont val="Arial"/>
        <family val="2"/>
      </rPr>
      <t>15-10-2021</t>
    </r>
    <r>
      <rPr>
        <sz val="8"/>
        <rFont val="Arial"/>
        <family val="2"/>
      </rPr>
      <t xml:space="preserve"> ocho (8) meses al plazo del contrato de administración de recursos del proyecto Santa Marta III, para concluir el visado de planos municipal, la formalización de las operaciones y la entrega del cierre técnico y financiero, contados a partir de la firma de la adenda al contrato del proyecto, según ac 6/03-2021 del 11-01-2021 (firmado el </t>
    </r>
    <r>
      <rPr>
        <b/>
        <u/>
        <sz val="8"/>
        <rFont val="Arial"/>
        <family val="2"/>
      </rPr>
      <t>15-02-2021</t>
    </r>
    <r>
      <rPr>
        <sz val="8"/>
        <rFont val="Arial"/>
        <family val="2"/>
      </rPr>
      <t>)</t>
    </r>
  </si>
  <si>
    <t>05-09-2011 29-07-13 25-04-16 03-10-16 08-10-18 05-11-18 18-02-19 08-04-2019 20-05-2019 02-09-2019 16-09-2019 30-09-2019 21-10-2019 12-12-2019 13-01-20 16-03-2020 11-05-2020 25-01-2021  01-03-2021</t>
  </si>
  <si>
    <r>
      <t xml:space="preserve">22-04-2019 para la construcción de las obras de infraestructura y viviendas y  22-11-2019 para la formalización de los casos y entregas de las viviendas y presentación del cierre técnivo y financiero del proyecto, según ac. 14/54-2018 del 24-09-2018. 27-11-19 para la conclusión de las obras de infraestructura y las viviendas, 27-06-2020 para la formalización de las operaciones y la entrega de las viviendas y 27-09-2020, para la entrega del cierre técnico y financiero,  según ac 5/38-2019 del 20-05-2019. </t>
    </r>
    <r>
      <rPr>
        <b/>
        <u/>
        <sz val="7"/>
        <rFont val="Arial"/>
        <family val="2"/>
      </rPr>
      <t>20-12-2019</t>
    </r>
    <r>
      <rPr>
        <sz val="7"/>
        <rFont val="Arial"/>
        <family val="2"/>
      </rPr>
      <t xml:space="preserve">, para ejecutar la etapa 1, Sector Este, </t>
    </r>
    <r>
      <rPr>
        <b/>
        <u/>
        <sz val="7"/>
        <rFont val="Arial"/>
        <family val="2"/>
      </rPr>
      <t>21-01-2020</t>
    </r>
    <r>
      <rPr>
        <sz val="7"/>
        <rFont val="Arial"/>
        <family val="2"/>
      </rPr>
      <t xml:space="preserve">, para realizar las obras de infraestructura, </t>
    </r>
    <r>
      <rPr>
        <b/>
        <u/>
        <sz val="7"/>
        <rFont val="Arial"/>
        <family val="2"/>
      </rPr>
      <t>28-02-2020</t>
    </r>
    <r>
      <rPr>
        <sz val="7"/>
        <rFont val="Arial"/>
        <family val="2"/>
      </rPr>
      <t xml:space="preserve">, para desarrollar la etapa 2, Sector Central, </t>
    </r>
    <r>
      <rPr>
        <b/>
        <u/>
        <sz val="7"/>
        <rFont val="Arial"/>
        <family val="2"/>
      </rPr>
      <t>22-06-2020</t>
    </r>
    <r>
      <rPr>
        <sz val="7"/>
        <rFont val="Arial"/>
        <family val="2"/>
      </rPr>
      <t xml:space="preserve">, para ejecutar la etapa 3, Sector Oeste, </t>
    </r>
    <r>
      <rPr>
        <b/>
        <u/>
        <sz val="7"/>
        <rFont val="Arial"/>
        <family val="2"/>
      </rPr>
      <t>06-07-2020</t>
    </r>
    <r>
      <rPr>
        <sz val="7"/>
        <rFont val="Arial"/>
        <family val="2"/>
      </rPr>
      <t xml:space="preserve">, para realizar las obras en la zona de precario, </t>
    </r>
    <r>
      <rPr>
        <b/>
        <u/>
        <sz val="7"/>
        <rFont val="Arial"/>
        <family val="2"/>
      </rPr>
      <t>22-06-2020</t>
    </r>
    <r>
      <rPr>
        <sz val="7"/>
        <rFont val="Arial"/>
        <family val="2"/>
      </rPr>
      <t xml:space="preserve"> para finalizar el proyecto y </t>
    </r>
    <r>
      <rPr>
        <b/>
        <u/>
        <sz val="7"/>
        <rFont val="Arial"/>
        <family val="2"/>
      </rPr>
      <t>06-07-2020</t>
    </r>
    <r>
      <rPr>
        <sz val="7"/>
        <rFont val="Arial"/>
        <family val="2"/>
      </rPr>
      <t xml:space="preserve"> para tener  por finalizadas las obras en el proyecto y en el área de precario, según ac 10/96-2019 del 02-12-2019. </t>
    </r>
    <r>
      <rPr>
        <b/>
        <u/>
        <sz val="7"/>
        <rFont val="Arial"/>
        <family val="2"/>
      </rPr>
      <t>xx-xx-xxxx</t>
    </r>
    <r>
      <rPr>
        <b/>
        <sz val="7"/>
        <rFont val="Arial"/>
        <family val="2"/>
      </rPr>
      <t xml:space="preserve">, seis meses al plazo del contrato de administración de recursos, para la liquidación de los recursos pendientes de giro, a partir de la fecha de la firma del nuevo contrato de administración entre la entidad autorizada y el BANHVI, según ac 5/07-2021 del 25-01-2021 (firmado </t>
    </r>
    <r>
      <rPr>
        <b/>
        <u/>
        <sz val="7"/>
        <rFont val="Arial"/>
        <family val="2"/>
      </rPr>
      <t>25-02-2021</t>
    </r>
    <r>
      <rPr>
        <b/>
        <sz val="7"/>
        <rFont val="Arial"/>
        <family val="2"/>
      </rPr>
      <t>)</t>
    </r>
  </si>
  <si>
    <t>27/01/2014 25-04-16 03-10-16 08-10-18 30-09-2019 18-11-2019 11-01-2021</t>
  </si>
  <si>
    <t xml:space="preserve">12/09/2011 prefactibilidad.  19-08-13 financiamiento. 01-06-15 financiamiento adicional. 05-10-15 Financiamiento adicional.  14-12-15 financiamiento adicional. </t>
  </si>
  <si>
    <t>20-05-13  16-11-15  22-01-18 08-03-2021</t>
  </si>
  <si>
    <t xml:space="preserve">Mar Azul II </t>
  </si>
  <si>
    <t>20/05/2013 11-05-17 18-05-20</t>
  </si>
  <si>
    <t>27/05/2013 21-07-14 09-03-15 20-04-15 14-12-16 25-04-16 05-05-16 20-06-16 20-03-17 18-05-17 13-05-19 28-07-20 01-03-2021</t>
  </si>
  <si>
    <r>
      <t>18-10-15 según el ac. 2/12-15 del 09-03-15.  15-08-16 según ac. 4/79-15 del 14-12-15.  11-05-17 según ac. 6/85-16 del 01-12-16.  11-08-17 según el ac. 11/34-17 del 18-05-17.  11-06-18 formalización y 11/07/2018 cierre técnico y financiero ac. 15/17-18 del 12-03-18. 31/08/2019 para la construcción y entrega del proyecto  y 30/11/2019 para el cierre técnico y financiero según ac 7/15-2019 del 25-02-2019. 27-07-2020 Seis meses, a partir de la firma de un nuevo contrato de administración de recursos entre la Entidad autorizada y el BANHVI, para concluir el procesos de traspaso y recepción de la planta de tratamiento de aguas resuduales al Instituto Costarricense de Acueductor y Alcantarillados, según ac 6/03-2020 del 13-01-2020 (firmado el 27-01-2020). 31-12-2020 el plazo del contrato de administración de recursos del proyecto El Porvenir, con el objetivo de finalizar el trámite de recepción de la PTAR ante el AyA, incluyendo el periodo de mantenimiento y operación de dicha Planta, según ac 3/58-2020 del 28-07-2020.</t>
    </r>
    <r>
      <rPr>
        <b/>
        <u/>
        <sz val="8"/>
        <rFont val="Arial"/>
        <family val="2"/>
      </rPr>
      <t xml:space="preserve">  31 de julio de 2021, el plazo del contrato de administración de recursos del proyecto El Porvenir, con el objetivo de finalizar el trámite de recepción de la PTAR ante el AyA, incluyendo el periodo de mantenimiento y operación de dicha Planta</t>
    </r>
    <r>
      <rPr>
        <b/>
        <sz val="8"/>
        <rFont val="Arial"/>
        <family val="2"/>
      </rPr>
      <t>, según ac 5/17-2021 del 01-03-2021 (adenda firmada el 11-03-2021)</t>
    </r>
  </si>
  <si>
    <t>08/07/2013 prefactibilidad.  22-05-17 Financiamiento. 25-02-2019 10-06-19 04-11-19 15-06-2020</t>
  </si>
  <si>
    <r>
      <t xml:space="preserve">04/03/2019 para la ejecución y entrega del proyecto y 04-06-2019 para el cierre técnico y financiero, según ac. 10/07-2019 del 28-01-2019
</t>
    </r>
    <r>
      <rPr>
        <u/>
        <sz val="8"/>
        <rFont val="Arial"/>
        <family val="2"/>
      </rPr>
      <t>21/08/2019</t>
    </r>
    <r>
      <rPr>
        <sz val="8"/>
        <rFont val="Arial"/>
        <family val="2"/>
      </rPr>
      <t xml:space="preserve">  Para la entrega de las obras pendientes 54 días naturales adicionales y </t>
    </r>
    <r>
      <rPr>
        <u/>
        <sz val="8"/>
        <rFont val="Arial"/>
        <family val="2"/>
      </rPr>
      <t>20-09-2019</t>
    </r>
    <r>
      <rPr>
        <sz val="8"/>
        <rFont val="Arial"/>
        <family val="2"/>
      </rPr>
      <t xml:space="preserve">  Para la entrega del cierre técnico y financiero 84 días, a partir de la firma de la adenda, según Ac 9/40-2019 del 27-05-2019 (firmado el 28-06-2019).  </t>
    </r>
    <r>
      <rPr>
        <b/>
        <u/>
        <sz val="8"/>
        <rFont val="Arial"/>
        <family val="2"/>
      </rPr>
      <t>21-03-2020</t>
    </r>
    <r>
      <rPr>
        <sz val="8"/>
        <rFont val="Arial"/>
        <family val="2"/>
      </rPr>
      <t xml:space="preserve"> Cuatro meses a partir de la firma del nuevo contrato para la liquidación y ejecución del cierre técnico y financiero, según ac 7/86-2019 del 04-11-2019 (firmado el 21-11-2019). </t>
    </r>
    <r>
      <rPr>
        <b/>
        <u/>
        <sz val="8"/>
        <rFont val="Arial"/>
        <family val="2"/>
      </rPr>
      <t>20-02-2021</t>
    </r>
    <r>
      <rPr>
        <sz val="8"/>
        <rFont val="Arial"/>
        <family val="2"/>
      </rPr>
      <t xml:space="preserve"> un plazo adicional e improrrogable de seis meses,, para la liquidación de las partidas pendientes de cobro y la entrega del cierre técnico y financiero, a partir de la firma del nuevo contrato de administración de recursos del proyecto, según ac 7/86-2019 del 04-11-2019 (firmado el 20-08-2020).</t>
    </r>
  </si>
  <si>
    <t>14/07/2014 14-12-15 20-03-17 10-09-18 22-10-2018 27-05-19 16-12-19 15-06-2020</t>
  </si>
  <si>
    <r>
      <t xml:space="preserve">01-05-2018  para obras y 01-06-2018 según ac. 6/27-2018 para cierre técnico y financiero. 11-10-2018 para obras y 11-01-2019 para  cierre financiero según ac 20/40-2018. 15-01-19 para la finalización de la obras y 15-03-19 para el cierre técnico y financiero, según ac.4/61-18 del 22-10-18. 12/06/2019 para la finalización de las obras y 12/09/2019 para la entrega del cierre técnico y financiero, según ac 6/36-2019 del 13-05-2019. </t>
    </r>
    <r>
      <rPr>
        <b/>
        <u/>
        <sz val="8"/>
        <rFont val="Arial"/>
        <family val="2"/>
      </rPr>
      <t>11-06-2020</t>
    </r>
    <r>
      <rPr>
        <sz val="8"/>
        <rFont val="Arial"/>
        <family val="2"/>
      </rPr>
      <t xml:space="preserve"> un plazo adicional e improrrogable de hasta tres meses, a partir de la firma del contrato de administración de recrusos, para la liquidacion de garantias y la ejecución del cierre técnico y financiero , según ac 7/11-2020 del 10-02-2020 (firmado el 11-03-2020). </t>
    </r>
    <r>
      <rPr>
        <b/>
        <u/>
        <sz val="8"/>
        <rFont val="Arial"/>
        <family val="2"/>
      </rPr>
      <t>09-07-2020</t>
    </r>
    <r>
      <rPr>
        <sz val="8"/>
        <rFont val="Arial"/>
        <family val="2"/>
      </rPr>
      <t xml:space="preserve"> Medio mes (15 días naturales) para la ejecución de las obras y </t>
    </r>
    <r>
      <rPr>
        <b/>
        <u/>
        <sz val="8"/>
        <rFont val="Arial"/>
        <family val="2"/>
      </rPr>
      <t>09-10-2020</t>
    </r>
    <r>
      <rPr>
        <sz val="8"/>
        <rFont val="Arial"/>
        <family val="2"/>
      </rPr>
      <t xml:space="preserve"> Tres meses para la liberación de garantías y la entrega del cierre técnico y financiero del proyecto. Este plazo es únicamente entre el BANHVI y la entidad autorizada, a partir de la firma del nuevo contrato de administración de recursos,según ac 9/44-2020 del 15-06-2020 (firmado el 24-06-2020). </t>
    </r>
    <r>
      <rPr>
        <b/>
        <u/>
        <sz val="8"/>
        <rFont val="Arial"/>
        <family val="2"/>
      </rPr>
      <t>27-02-2021</t>
    </r>
    <r>
      <rPr>
        <sz val="8"/>
        <rFont val="Arial"/>
        <family val="2"/>
      </rPr>
      <t xml:space="preserve"> un plazo adicional de hasta tres meses y medio (3,5 meses), a partir de la firma del contrato de administración de recursos, para la ejecución de las obras pendientes y la entrega del cierre técnico y financiero del proyecto,  según ac 7/86-2020 del 02-11-2020 (firmado el 12-11-2020)</t>
    </r>
  </si>
  <si>
    <t>14-07-2014  14-12-15  09-05-16 22-05-17 22-04-19 23-12-20</t>
  </si>
  <si>
    <r>
      <rPr>
        <b/>
        <u/>
        <sz val="8"/>
        <rFont val="Arial"/>
        <family val="2"/>
      </rPr>
      <t>18-05-2021</t>
    </r>
    <r>
      <rPr>
        <sz val="8"/>
        <rFont val="Arial"/>
        <family val="2"/>
      </rPr>
      <t xml:space="preserve"> 57 días naturales al plazo del proyecto Juanito Mora II, a partir de la firma del nuevo contrato, según ac 11/17-2021 del 01-03-2021 (firma de contrato </t>
    </r>
    <r>
      <rPr>
        <b/>
        <u/>
        <sz val="8"/>
        <rFont val="Arial"/>
        <family val="2"/>
      </rPr>
      <t>22-03-2021</t>
    </r>
    <r>
      <rPr>
        <sz val="8"/>
        <rFont val="Arial"/>
        <family val="2"/>
      </rPr>
      <t>)</t>
    </r>
  </si>
  <si>
    <t>Corales - Bambú. Sólo Bono Colectivo.</t>
  </si>
  <si>
    <t>04/08/2014 27-04-15 08-05-17 09-07-2018 16-12-19 30-03-20 23-12-20</t>
  </si>
  <si>
    <t>13/6/2016 26/10/2020</t>
  </si>
  <si>
    <t>20-07-15 20-10-16 11-05-17 26-06-17 13-07-17 20-07-17 (2) 24-09-18 25-01-21</t>
  </si>
  <si>
    <r>
      <t xml:space="preserve">Según el ac. 4/45-17 del 26-06-17, 30-12-17. 29-03-19 para la formalización y 29-06-19 para el cierre financiero del proyecto, según ac. 7/42-2018 del 13-08-18.  29-03-19 para la construcción de las obras faltantes, 10-05-19 para la formalización y entrega de las viviendas y 10-08-2019 para el cierre técnico y financiero del proyecto ,   según ac. 13/54-2018 del 24-09-2018. </t>
    </r>
    <r>
      <rPr>
        <b/>
        <u/>
        <sz val="8"/>
        <rFont val="Arial"/>
        <family val="2"/>
      </rPr>
      <t>12-08-2021</t>
    </r>
    <r>
      <rPr>
        <sz val="8"/>
        <rFont val="Arial"/>
        <family val="2"/>
      </rPr>
      <t xml:space="preserve"> seis meses al contrato de administración de recursos, para la segregación de las fincas, la formalización de las viviendas y la entrega del cierre técnico y financiero del proyecto, segun ac. 6/07-2021 del 25-01-2021 (Firmado el </t>
    </r>
    <r>
      <rPr>
        <b/>
        <u/>
        <sz val="8"/>
        <rFont val="Arial"/>
        <family val="2"/>
      </rPr>
      <t>12-02-2021</t>
    </r>
    <r>
      <rPr>
        <sz val="8"/>
        <rFont val="Arial"/>
        <family val="2"/>
      </rPr>
      <t>).</t>
    </r>
  </si>
  <si>
    <t>07/12/2015 prefactibilidad.  19-02-18 Financiamiento. 03-12-18 30-04-20 18-05-20 26-10-20  21-12-21</t>
  </si>
  <si>
    <t>n/a</t>
  </si>
  <si>
    <t>21-12-15 09-05-16 11-07-16 10-10-16 20-03-17 19-06-17 11-09-17 12-10-17 02-04-18 17-09-18 17-12-18 06-05-19 09-11-2020 01-03-2021 19-03-2021</t>
  </si>
  <si>
    <r>
      <t xml:space="preserve">30-03-18 según ac. 11/65-17 del 11-09-17, 11-06-2018 para formalización y entrega y el 11-07-2018 para cierre técnico y financiero según ac.2/21-18 del 02-04-18. 11-06-18 formalización y entrega de las viviendad y 11-07-2018 cierre técnico y financiero según ac.2/21-18 del 02-04-18. 31-12-2018 para formalización y 30-03-2019 para cierre técnico y financiero  según ac.8/52-18 del 17-09-18. 28/02/2019 para la formalización y entregas de las viviendas y 30-05-2019 para el cierre técnico y financiero, según ac. 10/77-18 del 17-12-18. 30-06-2019 para la formalización y 30-09-2019 para el cierre técnico y financiero según ac 4/34-2019 del 06-05-2019. </t>
    </r>
    <r>
      <rPr>
        <b/>
        <u/>
        <sz val="8"/>
        <rFont val="Arial"/>
        <family val="2"/>
      </rPr>
      <t>26/07/2020</t>
    </r>
    <r>
      <rPr>
        <sz val="8"/>
        <rFont val="Arial"/>
        <family val="2"/>
      </rPr>
      <t xml:space="preserve"> Ocho Meses para la entrega y recepción de la planta de tratamiento de aguas residuales y </t>
    </r>
    <r>
      <rPr>
        <b/>
        <u/>
        <sz val="8"/>
        <rFont val="Arial"/>
        <family val="2"/>
      </rPr>
      <t>26-10-2020</t>
    </r>
    <r>
      <rPr>
        <sz val="8"/>
        <rFont val="Arial"/>
        <family val="2"/>
      </rPr>
      <t xml:space="preserve"> Once meses, incluidos los ochos meses anteriores, para la entrega del cierre técnico y financiero del Proyecto, a partir de la firma del contrato de administración de recursos, según ac 10/78-2019 del 07-10-2019 (firmado el 26-11-2019). </t>
    </r>
    <r>
      <rPr>
        <b/>
        <u/>
        <sz val="8"/>
        <rFont val="Arial"/>
        <family val="2"/>
      </rPr>
      <t>21-07-2021</t>
    </r>
    <r>
      <rPr>
        <sz val="8"/>
        <rFont val="Arial"/>
        <family val="2"/>
      </rPr>
      <t xml:space="preserve"> siete meses al plazo del Contrato de Administración de Recursos, a partir de la firma de la adenda al contrato entre el BANHVI y la Entidad Autorizada,  según ac 6/88-2020 del 09-11-2020 (firmado el </t>
    </r>
    <r>
      <rPr>
        <b/>
        <u/>
        <sz val="8"/>
        <rFont val="Arial"/>
        <family val="2"/>
      </rPr>
      <t>21-12-2020</t>
    </r>
    <r>
      <rPr>
        <sz val="8"/>
        <rFont val="Arial"/>
        <family val="2"/>
      </rPr>
      <t>)</t>
    </r>
  </si>
  <si>
    <r>
      <rPr>
        <u/>
        <sz val="8"/>
        <rFont val="Arial"/>
        <family val="2"/>
      </rPr>
      <t>22-01-2020</t>
    </r>
    <r>
      <rPr>
        <sz val="8"/>
        <rFont val="Arial"/>
        <family val="2"/>
      </rPr>
      <t xml:space="preserve"> Seis meses para la conexión de los servicios individuales de agua potable y la instración de la red electrica,  </t>
    </r>
    <r>
      <rPr>
        <u/>
        <sz val="8"/>
        <rFont val="Arial"/>
        <family val="2"/>
      </rPr>
      <t>22-04-2020</t>
    </r>
    <r>
      <rPr>
        <sz val="8"/>
        <rFont val="Arial"/>
        <family val="2"/>
      </rPr>
      <t xml:space="preserve"> Nueve meses (incluyendo los seis meses anteriores), para la formalización de la operaciones y la entrega de las viviendas, </t>
    </r>
    <r>
      <rPr>
        <u/>
        <sz val="8"/>
        <rFont val="Arial"/>
        <family val="2"/>
      </rPr>
      <t>22-07-2020</t>
    </r>
    <r>
      <rPr>
        <sz val="8"/>
        <rFont val="Arial"/>
        <family val="2"/>
      </rPr>
      <t xml:space="preserve">  doce meses (incluyendo los nueve meses antariores) para la entrega del cierre técnico y financiero del proyecto, a partir de la firma de la adenda al contrato,según Ac 6/54-2019 del 15-07-2019 (firmado el 22-07-2019). </t>
    </r>
    <r>
      <rPr>
        <b/>
        <u/>
        <sz val="8"/>
        <rFont val="Arial"/>
        <family val="2"/>
      </rPr>
      <t>23-05-2021</t>
    </r>
    <r>
      <rPr>
        <sz val="8"/>
        <rFont val="Arial"/>
        <family val="2"/>
      </rPr>
      <t xml:space="preserve"> un plazo adicional e improrrogable de ocho meses, a partir de la firma de un nuevo contrato de administración de recursos entre la entidad autorizada y el BANHVI, con el fin de liquidar los saldos pendientes, formalizar las operaciones y ejecutar el cierre técnico y financiero de dicho proyecto, según Ac 4/70-2020 del 07-09-2020 (firmado el </t>
    </r>
    <r>
      <rPr>
        <b/>
        <sz val="8"/>
        <rFont val="Arial"/>
        <family val="2"/>
      </rPr>
      <t>23-09-2020</t>
    </r>
    <r>
      <rPr>
        <sz val="8"/>
        <rFont val="Arial"/>
        <family val="2"/>
      </rPr>
      <t xml:space="preserve">) </t>
    </r>
  </si>
  <si>
    <t>02-09-2019 23-09-2019 25-05-2010</t>
  </si>
  <si>
    <t>07-10-2019 25-05-2020</t>
  </si>
  <si>
    <t>02-12-2019 02-04-2020</t>
  </si>
  <si>
    <t>Bonos Territorio LA Casona IV  (Reserva Indígena Guaymi Coto Brus, Territorio La Casona)</t>
  </si>
  <si>
    <t>19-10-2020</t>
  </si>
  <si>
    <t>Bonos territorio indígena Cabécar de Bajo Chirripó</t>
  </si>
  <si>
    <t>26-10-2020</t>
  </si>
  <si>
    <t>Bonos Barras del Tortuguero</t>
  </si>
  <si>
    <t>Corrales Negros (S-002 con retención)</t>
  </si>
  <si>
    <t>16-11-2020</t>
  </si>
  <si>
    <t>Bonos Territorio indígena Salitre II de Buenos Aires</t>
  </si>
  <si>
    <t>23-11-2020</t>
  </si>
  <si>
    <t>Bonos Territorio Indígena Bribri Talamanca (VI)-SOMABACU</t>
  </si>
  <si>
    <t>23-12-2020</t>
  </si>
  <si>
    <t>13/08/2012 derogado.  18-07-16 prefactibilidad.   02-10-17 financiamiento. 04-12-17 Corrección. 09-11-20</t>
  </si>
  <si>
    <r>
      <rPr>
        <b/>
        <u/>
        <sz val="8"/>
        <rFont val="Arial"/>
        <family val="2"/>
      </rPr>
      <t>28-03-2020</t>
    </r>
    <r>
      <rPr>
        <sz val="8"/>
        <rFont val="Arial"/>
        <family val="2"/>
      </rPr>
      <t xml:space="preserve"> para la finalización de las obras y </t>
    </r>
    <r>
      <rPr>
        <b/>
        <u/>
        <sz val="8"/>
        <rFont val="Arial"/>
        <family val="2"/>
      </rPr>
      <t>28-06-2020</t>
    </r>
    <r>
      <rPr>
        <sz val="8"/>
        <rFont val="Arial"/>
        <family val="2"/>
      </rPr>
      <t xml:space="preserve"> para la entrega del cierre técnico y financiero, según ac 7/21-2020 DEL 16-03-2020. </t>
    </r>
    <r>
      <rPr>
        <b/>
        <u/>
        <sz val="8"/>
        <rFont val="Arial"/>
        <family val="2"/>
      </rPr>
      <t>xx-xx-xxxx</t>
    </r>
    <r>
      <rPr>
        <sz val="8"/>
        <rFont val="Arial"/>
        <family val="2"/>
      </rPr>
      <t>. tres meses, el plazo del contrato de administración de recursos del proyecto de Bono Colectivo La Guararí, exclusivamente para la entidad autorizada, para la ejecución del cierre técnico y financiero, a partir de la firma del nuevo contrato de administración, según ac 7/21-2020 DEL 16-03-2020 ( firmado el xx-xx-xxxx ).</t>
    </r>
  </si>
  <si>
    <t>Parque Corina Rodríguez ( BC)</t>
  </si>
  <si>
    <t>2/10/2017 23/12/2020 15/02/2021</t>
  </si>
  <si>
    <t>Parque Acosta Activa (BC)</t>
  </si>
  <si>
    <t>Las Rosas de Pocosol II Etapa.   S-002- con retención. Año 2020</t>
  </si>
  <si>
    <t>19/10/2015 23/01/2020 14/12/2020</t>
  </si>
  <si>
    <t>26/3/2021 Cierre técnico y financiero</t>
  </si>
  <si>
    <r>
      <rPr>
        <b/>
        <u/>
        <sz val="8"/>
        <rFont val="Arial"/>
        <family val="2"/>
      </rPr>
      <t>22-04-2021</t>
    </r>
    <r>
      <rPr>
        <sz val="8"/>
        <rFont val="Arial"/>
        <family val="2"/>
      </rPr>
      <t xml:space="preserve"> una prórroga de siete meses, a partir de la firma de un nuevo contrato de administración de recursos entre la entidad autorizada y el BANHVI, con el fin de liquidar, formalizar y ejecutar el cierre técnico de dicho proyecto, según ac 3/70-2020 del 07-09-2020 (firmado el </t>
    </r>
    <r>
      <rPr>
        <b/>
        <u/>
        <sz val="8"/>
        <rFont val="Arial"/>
        <family val="2"/>
      </rPr>
      <t>22-09-2020</t>
    </r>
    <r>
      <rPr>
        <sz val="8"/>
        <rFont val="Arial"/>
        <family val="2"/>
      </rPr>
      <t>)</t>
    </r>
  </si>
  <si>
    <r>
      <t xml:space="preserve">Hasta el </t>
    </r>
    <r>
      <rPr>
        <b/>
        <sz val="8"/>
        <rFont val="Arial"/>
        <family val="2"/>
      </rPr>
      <t>12 de abril de 2021</t>
    </r>
    <r>
      <rPr>
        <sz val="8"/>
        <rFont val="Arial"/>
        <family val="2"/>
      </rPr>
      <t xml:space="preserve">, para la ejecución de las obras del proyecto y  Hasta el </t>
    </r>
    <r>
      <rPr>
        <b/>
        <sz val="8"/>
        <rFont val="Arial"/>
        <family val="2"/>
      </rPr>
      <t>12 de julio de 2021</t>
    </r>
    <r>
      <rPr>
        <sz val="8"/>
        <rFont val="Arial"/>
        <family val="2"/>
      </rPr>
      <t>, para la entrega del cierre técnico y financiero, según ac 10/15-2021 del 22-02-2021 (adenda firmada el 26-02-2021).</t>
    </r>
  </si>
  <si>
    <t>19-3-2020  02-04-2020 01-02-2021</t>
  </si>
  <si>
    <t>Las Trojas</t>
  </si>
  <si>
    <t>23/11/2020 03/12/2020</t>
  </si>
  <si>
    <t>3x1  (3 Casos individuales)</t>
  </si>
  <si>
    <t>3/12/2020 15/02/2021</t>
  </si>
  <si>
    <t>Bonos Territorio indígena Cabécar (Tayní VI)</t>
  </si>
  <si>
    <t>22-12-2020</t>
  </si>
  <si>
    <t>San José de Upala (Llave en Mano)</t>
  </si>
  <si>
    <r>
      <rPr>
        <b/>
        <u/>
        <sz val="8"/>
        <rFont val="Arial"/>
        <family val="2"/>
      </rPr>
      <t xml:space="preserve">18-12-2019 </t>
    </r>
    <r>
      <rPr>
        <sz val="8"/>
        <rFont val="Arial"/>
        <family val="2"/>
      </rPr>
      <t>Tres meses para la formalización de las 16 operaciones pendientes, a partir de la firma de la adenda al contrato, según Ac 10/70-2019 del 09-09-2019 (firmado el 18-09-2019).</t>
    </r>
    <r>
      <rPr>
        <b/>
        <u/>
        <sz val="8"/>
        <rFont val="Arial"/>
        <family val="2"/>
      </rPr>
      <t xml:space="preserve"> 01-02-2021</t>
    </r>
    <r>
      <rPr>
        <sz val="8"/>
        <rFont val="Arial"/>
        <family val="2"/>
      </rPr>
      <t xml:space="preserve"> Cuatro meses para la formalización de las 8 operaciones pendientes, , según Ac 2/75-2020 del 24-09-2019.</t>
    </r>
  </si>
  <si>
    <r>
      <rPr>
        <b/>
        <u/>
        <sz val="8"/>
        <rFont val="Arial"/>
        <family val="2"/>
      </rPr>
      <t>18-12-2019</t>
    </r>
    <r>
      <rPr>
        <sz val="8"/>
        <rFont val="Arial"/>
        <family val="2"/>
      </rPr>
      <t xml:space="preserve"> Tres meses para la formalización de las 16 operaciones pendientes, </t>
    </r>
    <r>
      <rPr>
        <b/>
        <u/>
        <sz val="8"/>
        <rFont val="Arial"/>
        <family val="2"/>
      </rPr>
      <t>18-05-2020</t>
    </r>
    <r>
      <rPr>
        <sz val="8"/>
        <rFont val="Arial"/>
        <family val="2"/>
      </rPr>
      <t xml:space="preserve"> Siete meses (incluidos los tres meses anteriores) para la ejecución de las obras, y </t>
    </r>
    <r>
      <rPr>
        <b/>
        <u/>
        <sz val="8"/>
        <rFont val="Arial"/>
        <family val="2"/>
      </rPr>
      <t>18-06-2020</t>
    </r>
    <r>
      <rPr>
        <sz val="8"/>
        <rFont val="Arial"/>
        <family val="2"/>
      </rPr>
      <t xml:space="preserve"> Diez meses (inluidos los siete meeses anteriores) para la entrega del cierre técnico y financiero, a partir de la firma de la adenda al contrato a partir de la firma de la adenda al contrato, según Ac 10/70-2019 del 09-09-2019 (firmado el 18-09-2019). </t>
    </r>
    <r>
      <rPr>
        <b/>
        <u/>
        <sz val="8"/>
        <rFont val="Arial"/>
        <family val="2"/>
      </rPr>
      <t>01-02-2021</t>
    </r>
    <r>
      <rPr>
        <sz val="8"/>
        <rFont val="Arial"/>
        <family val="2"/>
      </rPr>
      <t xml:space="preserve"> Cuatro meses para la formalización de las 8 operaciones pendientes,  y </t>
    </r>
    <r>
      <rPr>
        <b/>
        <u/>
        <sz val="8"/>
        <rFont val="Arial"/>
        <family val="2"/>
      </rPr>
      <t>01-05-2021</t>
    </r>
    <r>
      <rPr>
        <sz val="8"/>
        <rFont val="Arial"/>
        <family val="2"/>
      </rPr>
      <t xml:space="preserve"> Tres meses  para la entrega del cierre técnico y financiero, a partir de la firma de la adenda al contrato a partir de la firma de la adenda al contrato, según Ac 2/75-2020 del 24-09-2019 (firmado el </t>
    </r>
    <r>
      <rPr>
        <b/>
        <u/>
        <sz val="8"/>
        <rFont val="Arial"/>
        <family val="2"/>
      </rPr>
      <t>01-10-2021</t>
    </r>
    <r>
      <rPr>
        <sz val="8"/>
        <rFont val="Arial"/>
        <family val="2"/>
      </rPr>
      <t>)</t>
    </r>
  </si>
  <si>
    <r>
      <t xml:space="preserve">06-11-2019 Tres meses adicionales para la formalización   a partir de la firma de la adenda al contrato, según Ac 6/50-2019 del 01-07-2019 (firmado el 06-08-2019). </t>
    </r>
    <r>
      <rPr>
        <b/>
        <u/>
        <sz val="8"/>
        <rFont val="Arial"/>
        <family val="2"/>
      </rPr>
      <t>30-05-2020</t>
    </r>
    <r>
      <rPr>
        <sz val="8"/>
        <rFont val="Arial"/>
        <family val="2"/>
      </rPr>
      <t xml:space="preserve">  para la ejecución de las obras pendientes, según Ac 6/19-2020 del 09-03-2020. </t>
    </r>
    <r>
      <rPr>
        <b/>
        <u/>
        <sz val="8"/>
        <rFont val="Arial"/>
        <family val="2"/>
      </rPr>
      <t>30-08-2020</t>
    </r>
    <r>
      <rPr>
        <sz val="8"/>
        <rFont val="Arial"/>
        <family val="2"/>
      </rPr>
      <t xml:space="preserve"> Un mes  para la ejecución de las obras pendientes, , a partir de la firma de la adenda al contrato a partir de la firma de la adenda al contrato, según Ac 7/53-2020 del 13-07-2020 (firmado el 30-07-2020)</t>
    </r>
  </si>
  <si>
    <r>
      <rPr>
        <b/>
        <u/>
        <sz val="8"/>
        <rFont val="Arial"/>
        <family val="2"/>
      </rPr>
      <t>06-11-2019</t>
    </r>
    <r>
      <rPr>
        <sz val="8"/>
        <rFont val="Arial"/>
        <family val="2"/>
      </rPr>
      <t xml:space="preserve"> Tres meses adicionales para la formalización y </t>
    </r>
    <r>
      <rPr>
        <b/>
        <u/>
        <sz val="8"/>
        <rFont val="Arial"/>
        <family val="2"/>
      </rPr>
      <t>06-02-2020</t>
    </r>
    <r>
      <rPr>
        <sz val="8"/>
        <rFont val="Arial"/>
        <family val="2"/>
      </rPr>
      <t xml:space="preserve"> Seis meses adicionales para la construcción y  entrega (incluidos los tres meses anteriores) </t>
    </r>
    <r>
      <rPr>
        <b/>
        <u/>
        <sz val="8"/>
        <rFont val="Arial"/>
        <family val="2"/>
      </rPr>
      <t>06-05-2020</t>
    </r>
    <r>
      <rPr>
        <sz val="8"/>
        <rFont val="Arial"/>
        <family val="2"/>
      </rPr>
      <t xml:space="preserve">  Nueve meses para la entrega del  cierre técnico y financiero ( incluidos los tres y seis meses de los puntos anteriores)  a partir de la firma de la adenda al contrato, según Ac 6/50-2019 del 01-07-2019 (firmado el 06-08-2019). </t>
    </r>
    <r>
      <rPr>
        <b/>
        <u/>
        <sz val="8"/>
        <rFont val="Arial"/>
        <family val="2"/>
      </rPr>
      <t>20-04-2020</t>
    </r>
    <r>
      <rPr>
        <sz val="8"/>
        <rFont val="Arial"/>
        <family val="2"/>
      </rPr>
      <t xml:space="preserve">  para la formalización, </t>
    </r>
    <r>
      <rPr>
        <b/>
        <u/>
        <sz val="8"/>
        <rFont val="Arial"/>
        <family val="2"/>
      </rPr>
      <t>30-05-2020</t>
    </r>
    <r>
      <rPr>
        <sz val="8"/>
        <rFont val="Arial"/>
        <family val="2"/>
      </rPr>
      <t xml:space="preserve">  para la ejecución de las obras pendientes y </t>
    </r>
    <r>
      <rPr>
        <b/>
        <u/>
        <sz val="8"/>
        <rFont val="Arial"/>
        <family val="2"/>
      </rPr>
      <t>30-09-2020</t>
    </r>
    <r>
      <rPr>
        <sz val="8"/>
        <rFont val="Arial"/>
        <family val="2"/>
      </rPr>
      <t xml:space="preserve"> para la entrega del cierre técnico y financiero, según Ac 6/19-2020 del 09-03-2020. </t>
    </r>
    <r>
      <rPr>
        <b/>
        <u/>
        <sz val="8"/>
        <rFont val="Arial"/>
        <family val="2"/>
      </rPr>
      <t>30-08-2020</t>
    </r>
    <r>
      <rPr>
        <sz val="8"/>
        <rFont val="Arial"/>
        <family val="2"/>
      </rPr>
      <t xml:space="preserve"> Un mes  para la ejecución de las obras pendientes, y </t>
    </r>
    <r>
      <rPr>
        <b/>
        <u/>
        <sz val="8"/>
        <rFont val="Arial"/>
        <family val="2"/>
      </rPr>
      <t>30-11-2020</t>
    </r>
    <r>
      <rPr>
        <sz val="8"/>
        <rFont val="Arial"/>
        <family val="2"/>
      </rPr>
      <t xml:space="preserve"> Tres meses para la entrega del cierre técnico y financiero, a partir de la firma de la adenda al contrato a partir de la firma de la adenda al contrato, según Ac 7/53-2020 del 13-07-2020 (firmado el</t>
    </r>
    <r>
      <rPr>
        <b/>
        <u/>
        <sz val="8"/>
        <rFont val="Arial"/>
        <family val="2"/>
      </rPr>
      <t xml:space="preserve"> 30-07-2020</t>
    </r>
    <r>
      <rPr>
        <sz val="8"/>
        <rFont val="Arial"/>
        <family val="2"/>
      </rPr>
      <t xml:space="preserve">). </t>
    </r>
    <r>
      <rPr>
        <b/>
        <u/>
        <sz val="8"/>
        <rFont val="Arial"/>
        <family val="2"/>
      </rPr>
      <t>22-05-2021</t>
    </r>
    <r>
      <rPr>
        <sz val="8"/>
        <rFont val="Arial"/>
        <family val="2"/>
      </rPr>
      <t xml:space="preserve"> una prórroga de tres meses al contrato de administración de recursos del proyecto de vivienda Punta de Riel, para la liquidación de saldos y la entrega del cierre técnico y financiero del proyecto, a partir de la firma del nuevo contrato de administración de recursos, según ac 14/05-2021 del 18-01-2021 (firmado el </t>
    </r>
    <r>
      <rPr>
        <b/>
        <u/>
        <sz val="8"/>
        <rFont val="Arial"/>
        <family val="2"/>
      </rPr>
      <t>22-02-2021</t>
    </r>
    <r>
      <rPr>
        <sz val="8"/>
        <rFont val="Arial"/>
        <family val="2"/>
      </rPr>
      <t>)</t>
    </r>
  </si>
  <si>
    <t>Los Almendros (S-002 con retención)</t>
  </si>
  <si>
    <t>Lomas del Valle (S-002 con retención)</t>
  </si>
  <si>
    <t>17-12-15 31-07-17 12-10-17 27-11-17 29-10-18 28-01-19 14-10-2019 21-10-19 27-01-2020 10-02-2020 17-02-2020 18-05-2020 18-06-2020 29-06-2020 12-10-2020 18-01-2021</t>
  </si>
  <si>
    <r>
      <t xml:space="preserve">28-02-2019 para la formalización, según ac 7/63-18 del 29-10-2018.
</t>
    </r>
    <r>
      <rPr>
        <b/>
        <u/>
        <sz val="8"/>
        <rFont val="Arial"/>
        <family val="2"/>
      </rPr>
      <t>28-12-2019</t>
    </r>
    <r>
      <rPr>
        <sz val="8"/>
        <rFont val="Arial"/>
        <family val="2"/>
      </rPr>
      <t xml:space="preserve">   6 meses adicionales para la formalización y entrega de la viviendas pendientes,  a partir de la firma de la adenda al contrato, según Ac 9/44-2019 del 10-06-2019 (firmado el 28-06-2019)
</t>
    </r>
    <r>
      <rPr>
        <b/>
        <u/>
        <sz val="8"/>
        <rFont val="Arial"/>
        <family val="2"/>
      </rPr>
      <t>24-12-2020</t>
    </r>
    <r>
      <rPr>
        <sz val="8"/>
        <rFont val="Arial"/>
        <family val="2"/>
      </rPr>
      <t xml:space="preserve">   8 meses adicionales para la formalización ,  a partir de la firma de la adenda al contrato, según Ac 7/07-2020 del 27-01-2020 (firmado el 24-04-2020)</t>
    </r>
  </si>
  <si>
    <r>
      <t xml:space="preserve">28-02-2019 para la formalización y 30-05-2019 para el cierre técnico y financiero del proyecto, según ac 7/63-18 del 29-10-2018.
</t>
    </r>
    <r>
      <rPr>
        <b/>
        <u/>
        <sz val="8"/>
        <rFont val="Arial"/>
        <family val="2"/>
      </rPr>
      <t>28-12-19</t>
    </r>
    <r>
      <rPr>
        <sz val="8"/>
        <rFont val="Arial"/>
        <family val="2"/>
      </rPr>
      <t xml:space="preserve"> 6 meses adicionales para la formalización y entrega de la viviendas pendientes y </t>
    </r>
    <r>
      <rPr>
        <b/>
        <u/>
        <sz val="8"/>
        <rFont val="Arial"/>
        <family val="2"/>
      </rPr>
      <t>28-03-20</t>
    </r>
    <r>
      <rPr>
        <sz val="8"/>
        <rFont val="Arial"/>
        <family val="2"/>
      </rPr>
      <t xml:space="preserve"> 9 meses adicionales para la entrega del cierre técnico y financiero,  a partir de la firma de la adenda al contrato, según Ac 9/44-2019 del 10-06-2019 (firmado el 28-06-2019).
</t>
    </r>
    <r>
      <rPr>
        <b/>
        <u/>
        <sz val="8"/>
        <rFont val="Arial"/>
        <family val="2"/>
      </rPr>
      <t>24-12-2020</t>
    </r>
    <r>
      <rPr>
        <sz val="8"/>
        <rFont val="Arial"/>
        <family val="2"/>
      </rPr>
      <t xml:space="preserve">   8 meses adicionales para la formalización y </t>
    </r>
    <r>
      <rPr>
        <b/>
        <u/>
        <sz val="8"/>
        <rFont val="Arial"/>
        <family val="2"/>
      </rPr>
      <t>24-03-2021</t>
    </r>
    <r>
      <rPr>
        <sz val="8"/>
        <rFont val="Arial"/>
        <family val="2"/>
      </rPr>
      <t xml:space="preserve"> 3 meses adicionales para el cierre técnico y financiero,  a partir de la firma de la adenda al contrato, según Ac 7/07-2020 del 27-01-2020 (firmado el 24-04-2020). (</t>
    </r>
    <r>
      <rPr>
        <b/>
        <u/>
        <sz val="8"/>
        <rFont val="Arial"/>
        <family val="2"/>
      </rPr>
      <t>16-05-2021</t>
    </r>
    <r>
      <rPr>
        <sz val="8"/>
        <rFont val="Arial"/>
        <family val="2"/>
      </rPr>
      <t>) tres meses, improrrogables, el plazo del contrato de administración de recursos del proyecto Cocales de Duacarí, para la formalización de las viviendas y la entrega del cierre técnico y financiero del proyecto, según Ac 9/05-2021 del 18-01-2021 (firmado el 16-02-2021).</t>
    </r>
  </si>
  <si>
    <t>16/7/2018 15/06/2020</t>
  </si>
  <si>
    <t>05/05/2014 05/10/15 25/04/16 06-11-17 14-01-19 21-10-2019 15-03-2021</t>
  </si>
  <si>
    <t>Bonos Territorio Indígena Conte-Burica (Alto Conte)</t>
  </si>
  <si>
    <t xml:space="preserve">Bonos Territorio Guaymi Coopeservidores Davivienda </t>
  </si>
  <si>
    <t xml:space="preserve">Bonos Territorio Boruca Coopeservidores Davivienda </t>
  </si>
  <si>
    <t>BONOS PROYECTO Corazón de Jesús (Grupo de 5 a 10 casos). CASOS INDIVIDUALES CON RETENCIÓN.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</si>
</sst>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3" formatCode="_-* #,##0.00_-;\-* #,##0.00_-;_-* &quot;-&quot;??_-;_-@_-"/>
    <numFmt numFmtId="169" formatCode="_(* #,##0_);_(* \(#,##0\);_(* &quot;-&quot;_);_(@_)"/>
    <numFmt numFmtId="170" formatCode="_(&quot;₡&quot;* #,##0.00_);_(&quot;₡&quot;* \(#,##0.00\);_(&quot;₡&quot;* &quot;-&quot;??_);_(@_)"/>
    <numFmt numFmtId="171" formatCode="_(* #,##0.00_);_(* \(#,##0.00\);_(* &quot;-&quot;??_);_(@_)"/>
    <numFmt numFmtId="172" formatCode="\¢#,##0.00;\(\¢#,##0.00\)"/>
    <numFmt numFmtId="173" formatCode="_(* #,##0.00\ \ \ \ \ ;_(* \(#,##0.00\);_(* &quot;-&quot;??_);_(@_)"/>
    <numFmt numFmtId="174" formatCode="_(* #,##0_);_(* \(#,##0\);_(* &quot;-&quot;??_);_(@_)"/>
    <numFmt numFmtId="175" formatCode="0.0%"/>
    <numFmt numFmtId="176" formatCode="_([$€]* #,##0.00_);_([$€]* \(#,##0.00\);_([$€]* &quot;-&quot;??_);_(@_)"/>
    <numFmt numFmtId="178" formatCode="#,##0.00\ "/>
    <numFmt numFmtId="179" formatCode="#,##0.00\ \ ;[Red]\(&quot;¢&quot;#,##0.00\)"/>
    <numFmt numFmtId="180" formatCode="#,##0.00\ \ "/>
    <numFmt numFmtId="181" formatCode="dd\-mm\-yy;@"/>
    <numFmt numFmtId="196" formatCode="#,##0.0"/>
    <numFmt numFmtId="201" formatCode="#,##0.00000"/>
    <numFmt numFmtId="208" formatCode="_(* #,##0\ \ \ \ \ \ ;_(* \(#,##0\);_(* &quot;-&quot;??_);_(@_)"/>
    <numFmt numFmtId="209" formatCode="_(* #,##0\ \ \ \ \ \ \ ;_(* \(#,##0\);_(* &quot;-&quot;??_);_(@_)"/>
    <numFmt numFmtId="211" formatCode="_(* #,##0.0000_);_(* \(#,##0.0000\);_(* &quot;-&quot;??_);_(@_)"/>
    <numFmt numFmtId="215" formatCode="_([$€-2]* #,##0.00_);_([$€-2]* \(#,##0.00\);_([$€-2]* &quot;-&quot;??_)"/>
    <numFmt numFmtId="218" formatCode="_(&quot;¢&quot;* #,##0.00_);_(&quot;¢&quot;* \(#,##0.00\);_(&quot;¢&quot;* &quot;-&quot;??_);_(@_)"/>
    <numFmt numFmtId="221" formatCode="0.0"/>
    <numFmt numFmtId="222" formatCode="_(* #,##0.000000000_);_(* \(#,##0.000000000\);_(* &quot;-&quot;??_);_(@_)"/>
  </numFmts>
  <fonts count="38" x14ac:knownFonts="1">
    <font>
      <sz val="10"/>
      <name val="Arial"/>
    </font>
    <font>
      <sz val="10"/>
      <name val="Arial"/>
    </font>
    <font>
      <sz val="10"/>
      <color indexed="8"/>
      <name val="Arial"/>
      <family val="2"/>
    </font>
    <font>
      <sz val="8"/>
      <name val="Arial"/>
      <family val="2"/>
    </font>
    <font>
      <b/>
      <sz val="10"/>
      <name val="Arial"/>
      <family val="2"/>
    </font>
    <font>
      <sz val="10"/>
      <color indexed="8"/>
      <name val="Tahoma"/>
      <family val="2"/>
    </font>
    <font>
      <b/>
      <u/>
      <sz val="10"/>
      <name val="Arial"/>
      <family val="2"/>
    </font>
    <font>
      <vertAlign val="superscript"/>
      <sz val="8"/>
      <name val="Arial"/>
      <family val="2"/>
    </font>
    <font>
      <b/>
      <sz val="12"/>
      <name val="Arial"/>
      <family val="2"/>
    </font>
    <font>
      <sz val="10"/>
      <name val="Arial"/>
      <family val="2"/>
    </font>
    <font>
      <b/>
      <sz val="16"/>
      <name val="Arial"/>
      <family val="2"/>
    </font>
    <font>
      <sz val="12"/>
      <name val="Arial"/>
      <family val="2"/>
    </font>
    <font>
      <b/>
      <sz val="9"/>
      <name val="Arial"/>
      <family val="2"/>
    </font>
    <font>
      <b/>
      <sz val="9"/>
      <color indexed="9"/>
      <name val="Arial"/>
      <family val="2"/>
    </font>
    <font>
      <sz val="12"/>
      <name val="Arial"/>
      <family val="2"/>
    </font>
    <font>
      <sz val="8"/>
      <name val="Arial"/>
      <family val="2"/>
    </font>
    <font>
      <b/>
      <sz val="8"/>
      <name val="Arial"/>
      <family val="2"/>
    </font>
    <font>
      <sz val="8"/>
      <name val="Times New Roman"/>
      <family val="1"/>
    </font>
    <font>
      <b/>
      <i/>
      <sz val="8"/>
      <name val="Arial"/>
      <family val="2"/>
    </font>
    <font>
      <sz val="8"/>
      <color indexed="81"/>
      <name val="Tahoma"/>
      <family val="2"/>
    </font>
    <font>
      <b/>
      <sz val="8"/>
      <color indexed="81"/>
      <name val="Tahoma"/>
      <family val="2"/>
    </font>
    <font>
      <sz val="10"/>
      <name val="Arial"/>
      <family val="2"/>
    </font>
    <font>
      <sz val="10"/>
      <name val="Arial"/>
      <family val="2"/>
    </font>
    <font>
      <sz val="10"/>
      <name val="Arial"/>
      <family val="2"/>
    </font>
    <font>
      <b/>
      <sz val="9"/>
      <color indexed="81"/>
      <name val="Tahoma"/>
      <family val="2"/>
    </font>
    <font>
      <sz val="9"/>
      <color indexed="81"/>
      <name val="Tahoma"/>
      <family val="2"/>
    </font>
    <font>
      <u/>
      <sz val="8"/>
      <name val="Arial"/>
      <family val="2"/>
    </font>
    <font>
      <b/>
      <u/>
      <sz val="8"/>
      <name val="Arial"/>
      <family val="2"/>
    </font>
    <font>
      <i/>
      <sz val="8"/>
      <name val="Arial"/>
      <family val="2"/>
    </font>
    <font>
      <sz val="11"/>
      <color indexed="8"/>
      <name val="Calibri"/>
      <family val="2"/>
    </font>
    <font>
      <sz val="10"/>
      <color indexed="8"/>
      <name val="Arial"/>
      <family val="2"/>
    </font>
    <font>
      <b/>
      <i/>
      <u/>
      <sz val="8"/>
      <name val="Arial"/>
      <family val="2"/>
    </font>
    <font>
      <sz val="7"/>
      <name val="Arial"/>
      <family val="2"/>
    </font>
    <font>
      <b/>
      <u/>
      <sz val="7"/>
      <name val="Arial"/>
      <family val="2"/>
    </font>
    <font>
      <b/>
      <sz val="7"/>
      <name val="Arial"/>
      <family val="2"/>
    </font>
    <font>
      <sz val="7"/>
      <name val="Times New Roman"/>
      <family val="1"/>
    </font>
    <font>
      <sz val="11"/>
      <color theme="1"/>
      <name val="Calibri"/>
      <family val="2"/>
      <scheme val="minor"/>
    </font>
    <font>
      <sz val="10"/>
      <color theme="1"/>
      <name val="Arial"/>
      <family val="2"/>
    </font>
  </fonts>
  <fills count="6">
    <fill>
      <patternFill patternType="none"/>
    </fill>
    <fill>
      <patternFill patternType="gray125"/>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4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theme="0" tint="-0.24994659260841701"/>
      </left>
      <right style="thin">
        <color indexed="22"/>
      </right>
      <top style="thin">
        <color indexed="64"/>
      </top>
      <bottom/>
      <diagonal/>
    </border>
    <border>
      <left style="thin">
        <color theme="0" tint="-0.24994659260841701"/>
      </left>
      <right style="thin">
        <color indexed="22"/>
      </right>
      <top/>
      <bottom/>
      <diagonal/>
    </border>
    <border>
      <left style="thin">
        <color theme="0" tint="-0.24994659260841701"/>
      </left>
      <right style="thin">
        <color indexed="22"/>
      </right>
      <top/>
      <bottom style="thin">
        <color indexed="64"/>
      </bottom>
      <diagonal/>
    </border>
  </borders>
  <cellStyleXfs count="36">
    <xf numFmtId="0" fontId="0" fillId="0" borderId="0"/>
    <xf numFmtId="176" fontId="1" fillId="0" borderId="0" applyFont="0" applyFill="0" applyBorder="0" applyAlignment="0" applyProtection="0"/>
    <xf numFmtId="215" fontId="9" fillId="0" borderId="0" applyFont="0" applyFill="0" applyBorder="0" applyAlignment="0" applyProtection="0"/>
    <xf numFmtId="171" fontId="1" fillId="0" borderId="0" applyFont="0" applyFill="0" applyBorder="0" applyAlignment="0" applyProtection="0"/>
    <xf numFmtId="169" fontId="9" fillId="0" borderId="0" applyFont="0" applyFill="0" applyBorder="0" applyAlignment="0" applyProtection="0"/>
    <xf numFmtId="169" fontId="21" fillId="0" borderId="0" applyFont="0" applyFill="0" applyBorder="0" applyAlignment="0" applyProtection="0"/>
    <xf numFmtId="169" fontId="22" fillId="0" borderId="0" applyFont="0" applyFill="0" applyBorder="0" applyAlignment="0" applyProtection="0"/>
    <xf numFmtId="169" fontId="9" fillId="0" borderId="0" applyFont="0" applyFill="0" applyBorder="0" applyAlignment="0" applyProtection="0"/>
    <xf numFmtId="169" fontId="22" fillId="0" borderId="0" applyFont="0" applyFill="0" applyBorder="0" applyAlignment="0" applyProtection="0"/>
    <xf numFmtId="169" fontId="23"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21" fillId="0" borderId="0" applyFont="0" applyFill="0" applyBorder="0" applyAlignment="0" applyProtection="0"/>
    <xf numFmtId="171" fontId="22" fillId="0" borderId="0" applyFont="0" applyFill="0" applyBorder="0" applyAlignment="0" applyProtection="0"/>
    <xf numFmtId="171" fontId="22" fillId="0" borderId="0" applyFont="0" applyFill="0" applyBorder="0" applyAlignment="0" applyProtection="0"/>
    <xf numFmtId="171" fontId="23" fillId="0" borderId="0" applyFont="0" applyFill="0" applyBorder="0" applyAlignment="0" applyProtection="0"/>
    <xf numFmtId="218" fontId="9" fillId="0" borderId="0" applyFont="0" applyFill="0" applyBorder="0" applyAlignment="0" applyProtection="0"/>
    <xf numFmtId="0" fontId="36" fillId="0" borderId="0"/>
    <xf numFmtId="0" fontId="9" fillId="0" borderId="0"/>
    <xf numFmtId="0" fontId="9" fillId="0" borderId="0"/>
    <xf numFmtId="0" fontId="9" fillId="0" borderId="0"/>
    <xf numFmtId="0" fontId="30" fillId="0" borderId="0"/>
    <xf numFmtId="0" fontId="2" fillId="0" borderId="0"/>
    <xf numFmtId="0" fontId="2" fillId="0" borderId="0"/>
    <xf numFmtId="0" fontId="2" fillId="0" borderId="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cellStyleXfs>
  <cellXfs count="270">
    <xf numFmtId="0" fontId="0" fillId="0" borderId="0" xfId="0"/>
    <xf numFmtId="0" fontId="0" fillId="0" borderId="0" xfId="0" applyAlignment="1">
      <alignment horizontal="centerContinuous" vertical="center"/>
    </xf>
    <xf numFmtId="172" fontId="0" fillId="0" borderId="0" xfId="0" applyNumberFormat="1" applyAlignment="1">
      <alignment horizontal="centerContinuous" vertical="center"/>
    </xf>
    <xf numFmtId="171" fontId="1" fillId="0" borderId="0" xfId="3" applyAlignment="1">
      <alignment vertical="center"/>
    </xf>
    <xf numFmtId="0" fontId="0" fillId="0" borderId="0" xfId="0" applyAlignment="1">
      <alignment vertical="center"/>
    </xf>
    <xf numFmtId="172" fontId="0" fillId="0" borderId="0" xfId="0" applyNumberFormat="1" applyAlignment="1">
      <alignment vertical="center"/>
    </xf>
    <xf numFmtId="0" fontId="4" fillId="0" borderId="0" xfId="0" applyFont="1" applyAlignment="1">
      <alignment horizontal="centerContinuous" vertical="center"/>
    </xf>
    <xf numFmtId="0" fontId="5" fillId="0" borderId="0" xfId="24" applyFont="1" applyFill="1" applyBorder="1" applyAlignment="1">
      <alignment horizontal="centerContinuous" vertical="center"/>
    </xf>
    <xf numFmtId="0" fontId="4" fillId="0" borderId="2" xfId="0" applyFont="1" applyBorder="1" applyAlignment="1">
      <alignment horizontal="center" vertical="center" wrapText="1"/>
    </xf>
    <xf numFmtId="0" fontId="0" fillId="0" borderId="0" xfId="0" applyBorder="1" applyAlignment="1">
      <alignment horizontal="center" vertical="center" wrapText="1"/>
    </xf>
    <xf numFmtId="17" fontId="0" fillId="0" borderId="0" xfId="0" applyNumberFormat="1" applyAlignment="1">
      <alignment horizontal="center" vertical="center"/>
    </xf>
    <xf numFmtId="173" fontId="1" fillId="0" borderId="0" xfId="3" applyNumberFormat="1" applyAlignment="1">
      <alignment vertical="center"/>
    </xf>
    <xf numFmtId="173" fontId="0" fillId="0" borderId="0" xfId="0" applyNumberFormat="1" applyAlignment="1">
      <alignment vertical="center"/>
    </xf>
    <xf numFmtId="0" fontId="4" fillId="0" borderId="3" xfId="0" applyFont="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justify" vertical="center" wrapText="1"/>
    </xf>
    <xf numFmtId="175" fontId="0" fillId="0" borderId="0" xfId="27" applyNumberFormat="1" applyFont="1" applyAlignment="1">
      <alignment vertical="center"/>
    </xf>
    <xf numFmtId="0" fontId="4" fillId="0" borderId="0" xfId="0" applyFont="1" applyAlignment="1">
      <alignment vertical="center"/>
    </xf>
    <xf numFmtId="0" fontId="6" fillId="0" borderId="0" xfId="0" applyFont="1" applyAlignment="1">
      <alignment vertical="center"/>
    </xf>
    <xf numFmtId="171" fontId="0" fillId="0" borderId="0" xfId="3" applyFont="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9" fontId="0" fillId="0" borderId="0" xfId="0" applyNumberFormat="1" applyAlignment="1">
      <alignment vertical="center"/>
    </xf>
    <xf numFmtId="10" fontId="0" fillId="0" borderId="0" xfId="27" applyNumberFormat="1" applyFont="1" applyAlignment="1">
      <alignment vertical="center"/>
    </xf>
    <xf numFmtId="0" fontId="9" fillId="0" borderId="0" xfId="0" applyFont="1"/>
    <xf numFmtId="0" fontId="11" fillId="0" borderId="0" xfId="0" applyFont="1"/>
    <xf numFmtId="0" fontId="11" fillId="0" borderId="0" xfId="0" applyFont="1" applyAlignment="1">
      <alignment horizontal="center"/>
    </xf>
    <xf numFmtId="4" fontId="11" fillId="0" borderId="0" xfId="3" applyNumberFormat="1" applyFont="1"/>
    <xf numFmtId="0" fontId="12"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2" fillId="0" borderId="0" xfId="0" applyFont="1"/>
    <xf numFmtId="0" fontId="11" fillId="4" borderId="2" xfId="0" applyFont="1" applyFill="1" applyBorder="1" applyAlignment="1">
      <alignment vertical="top" wrapText="1"/>
    </xf>
    <xf numFmtId="0" fontId="11" fillId="4" borderId="2" xfId="0" applyFont="1" applyFill="1" applyBorder="1" applyAlignment="1">
      <alignment horizontal="center" vertical="top" wrapText="1"/>
    </xf>
    <xf numFmtId="0" fontId="8" fillId="2" borderId="2" xfId="0" applyFont="1" applyFill="1" applyBorder="1" applyAlignment="1">
      <alignment horizontal="center" vertical="top" wrapText="1"/>
    </xf>
    <xf numFmtId="0" fontId="4" fillId="0" borderId="0" xfId="0" applyFont="1"/>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center"/>
    </xf>
    <xf numFmtId="0" fontId="12" fillId="2" borderId="7" xfId="0" applyFont="1" applyFill="1" applyBorder="1" applyAlignment="1">
      <alignment horizontal="center" vertical="center" wrapText="1"/>
    </xf>
    <xf numFmtId="0" fontId="11" fillId="2" borderId="2" xfId="0" applyFont="1" applyFill="1" applyBorder="1" applyAlignment="1">
      <alignment horizontal="centerContinuous"/>
    </xf>
    <xf numFmtId="0" fontId="8" fillId="2" borderId="2" xfId="0" applyFont="1" applyFill="1" applyBorder="1" applyAlignment="1">
      <alignment horizontal="centerContinuous"/>
    </xf>
    <xf numFmtId="179" fontId="14" fillId="0" borderId="2" xfId="0" applyNumberFormat="1" applyFont="1" applyBorder="1" applyAlignment="1">
      <alignment vertical="center"/>
    </xf>
    <xf numFmtId="179" fontId="8" fillId="2" borderId="2" xfId="0" applyNumberFormat="1" applyFont="1" applyFill="1" applyBorder="1" applyAlignment="1">
      <alignment vertical="center"/>
    </xf>
    <xf numFmtId="180" fontId="1" fillId="0" borderId="0" xfId="3" applyNumberFormat="1" applyAlignment="1">
      <alignment vertical="center"/>
    </xf>
    <xf numFmtId="180" fontId="4" fillId="0" borderId="3" xfId="3" applyNumberFormat="1" applyFont="1" applyBorder="1" applyAlignment="1">
      <alignment vertical="center"/>
    </xf>
    <xf numFmtId="0" fontId="9" fillId="0" borderId="0" xfId="0" applyFont="1" applyAlignment="1">
      <alignment horizontal="centerContinuous" vertical="center"/>
    </xf>
    <xf numFmtId="0" fontId="9" fillId="0" borderId="0" xfId="0" applyFont="1" applyAlignment="1">
      <alignment vertical="center"/>
    </xf>
    <xf numFmtId="0" fontId="9" fillId="0" borderId="2" xfId="26" applyFont="1" applyFill="1" applyBorder="1" applyAlignment="1">
      <alignment horizontal="center" vertical="center"/>
    </xf>
    <xf numFmtId="170" fontId="9" fillId="0" borderId="1" xfId="25" applyNumberFormat="1" applyFont="1" applyFill="1" applyBorder="1" applyAlignment="1">
      <alignment vertical="center" wrapText="1"/>
    </xf>
    <xf numFmtId="170" fontId="9" fillId="0" borderId="8" xfId="25" applyNumberFormat="1" applyFont="1" applyFill="1" applyBorder="1" applyAlignment="1">
      <alignment vertical="center" wrapText="1"/>
    </xf>
    <xf numFmtId="0" fontId="7" fillId="0" borderId="0" xfId="0" applyFont="1" applyAlignment="1">
      <alignment horizontal="justify" vertical="center"/>
    </xf>
    <xf numFmtId="171" fontId="0" fillId="0" borderId="0" xfId="0" applyNumberFormat="1" applyAlignment="1">
      <alignment vertical="center"/>
    </xf>
    <xf numFmtId="0" fontId="9" fillId="0" borderId="0" xfId="0" applyFont="1" applyAlignment="1">
      <alignment horizontal="right" vertical="center"/>
    </xf>
    <xf numFmtId="171" fontId="9" fillId="0" borderId="0" xfId="3" applyFont="1" applyAlignment="1">
      <alignment horizontal="center" vertical="top" wrapText="1"/>
    </xf>
    <xf numFmtId="170" fontId="4" fillId="0" borderId="9" xfId="25" applyNumberFormat="1" applyFont="1" applyFill="1" applyBorder="1" applyAlignment="1">
      <alignment vertical="center" wrapText="1"/>
    </xf>
    <xf numFmtId="170" fontId="4" fillId="0" borderId="3" xfId="25" applyNumberFormat="1" applyFont="1" applyFill="1" applyBorder="1" applyAlignment="1">
      <alignment vertical="center" wrapText="1"/>
    </xf>
    <xf numFmtId="170" fontId="9" fillId="0" borderId="10" xfId="25" applyNumberFormat="1" applyFont="1" applyFill="1" applyBorder="1" applyAlignment="1">
      <alignment vertical="center" wrapText="1"/>
    </xf>
    <xf numFmtId="174" fontId="9" fillId="0" borderId="0" xfId="3" applyNumberFormat="1" applyFont="1" applyAlignment="1">
      <alignment horizontal="center"/>
    </xf>
    <xf numFmtId="180" fontId="9" fillId="0" borderId="0" xfId="0" applyNumberFormat="1" applyFont="1" applyAlignment="1">
      <alignment horizontal="right" vertical="center"/>
    </xf>
    <xf numFmtId="0" fontId="9" fillId="0" borderId="2" xfId="0" applyFont="1" applyBorder="1" applyAlignment="1">
      <alignment horizontal="justify" vertical="center" wrapText="1"/>
    </xf>
    <xf numFmtId="0" fontId="9" fillId="0" borderId="0" xfId="0" applyFont="1" applyFill="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179" fontId="11" fillId="0" borderId="2" xfId="0" applyNumberFormat="1" applyFont="1" applyBorder="1" applyAlignment="1">
      <alignment vertical="center"/>
    </xf>
    <xf numFmtId="9" fontId="11" fillId="4" borderId="2" xfId="27" applyFont="1" applyFill="1" applyBorder="1" applyAlignment="1">
      <alignment horizontal="center" vertical="top" wrapText="1"/>
    </xf>
    <xf numFmtId="9" fontId="8" fillId="2" borderId="2" xfId="27" applyFont="1" applyFill="1" applyBorder="1" applyAlignment="1">
      <alignment horizontal="center" vertical="top" wrapText="1"/>
    </xf>
    <xf numFmtId="9" fontId="8" fillId="2" borderId="2" xfId="27" applyFont="1" applyFill="1" applyBorder="1" applyAlignment="1">
      <alignment horizontal="center" vertical="center"/>
    </xf>
    <xf numFmtId="4" fontId="0" fillId="0" borderId="0" xfId="0" applyNumberFormat="1" applyAlignment="1">
      <alignment vertical="center"/>
    </xf>
    <xf numFmtId="196" fontId="0" fillId="0" borderId="0" xfId="0" applyNumberFormat="1" applyAlignment="1">
      <alignment vertical="center"/>
    </xf>
    <xf numFmtId="180" fontId="0" fillId="0" borderId="0" xfId="0" applyNumberFormat="1" applyAlignment="1">
      <alignment vertical="center"/>
    </xf>
    <xf numFmtId="9" fontId="8" fillId="2" borderId="2" xfId="27" applyNumberFormat="1" applyFont="1" applyFill="1" applyBorder="1" applyAlignment="1">
      <alignment horizontal="center" vertical="top" wrapText="1"/>
    </xf>
    <xf numFmtId="9" fontId="8" fillId="2" borderId="2" xfId="27" applyNumberFormat="1" applyFont="1" applyFill="1" applyBorder="1" applyAlignment="1">
      <alignment horizontal="center" vertical="center"/>
    </xf>
    <xf numFmtId="201" fontId="0" fillId="0" borderId="0" xfId="0" applyNumberFormat="1" applyAlignment="1">
      <alignment vertical="center"/>
    </xf>
    <xf numFmtId="4" fontId="9" fillId="0" borderId="0" xfId="0" applyNumberFormat="1" applyFont="1" applyAlignment="1">
      <alignment horizontal="right" vertical="center"/>
    </xf>
    <xf numFmtId="174" fontId="0" fillId="0" borderId="0" xfId="3" applyNumberFormat="1" applyFont="1" applyAlignment="1">
      <alignment vertical="center"/>
    </xf>
    <xf numFmtId="208" fontId="8" fillId="2" borderId="2" xfId="3" applyNumberFormat="1" applyFont="1" applyFill="1" applyBorder="1" applyAlignment="1">
      <alignment horizontal="center" vertical="top" wrapText="1"/>
    </xf>
    <xf numFmtId="209" fontId="8" fillId="2" borderId="2" xfId="3" applyNumberFormat="1" applyFont="1" applyFill="1" applyBorder="1" applyAlignment="1">
      <alignment horizontal="center" vertical="top" wrapText="1"/>
    </xf>
    <xf numFmtId="209" fontId="11" fillId="0" borderId="2" xfId="3" applyNumberFormat="1" applyFont="1" applyFill="1" applyBorder="1" applyAlignment="1">
      <alignment horizontal="center" vertical="top" wrapText="1"/>
    </xf>
    <xf numFmtId="3" fontId="4" fillId="0" borderId="0" xfId="0" applyNumberFormat="1" applyFont="1"/>
    <xf numFmtId="3" fontId="0" fillId="0" borderId="0" xfId="0" applyNumberFormat="1" applyAlignment="1">
      <alignment vertical="center"/>
    </xf>
    <xf numFmtId="3" fontId="9" fillId="0" borderId="0" xfId="0" applyNumberFormat="1" applyFont="1" applyAlignment="1">
      <alignment horizontal="center" vertical="top" wrapText="1"/>
    </xf>
    <xf numFmtId="40" fontId="9" fillId="0" borderId="0" xfId="0" applyNumberFormat="1" applyFont="1" applyAlignment="1">
      <alignment vertical="top" wrapText="1"/>
    </xf>
    <xf numFmtId="178" fontId="9" fillId="0" borderId="0" xfId="3" applyNumberFormat="1" applyFont="1" applyFill="1" applyBorder="1" applyAlignment="1">
      <alignment vertical="center"/>
    </xf>
    <xf numFmtId="171" fontId="9" fillId="0" borderId="12" xfId="3" applyFont="1" applyFill="1" applyBorder="1" applyAlignment="1">
      <alignment vertical="center"/>
    </xf>
    <xf numFmtId="171" fontId="9" fillId="0" borderId="7" xfId="3" applyFont="1" applyFill="1" applyBorder="1" applyAlignment="1">
      <alignment vertical="center"/>
    </xf>
    <xf numFmtId="171" fontId="9" fillId="0" borderId="0" xfId="3" applyFont="1" applyFill="1" applyAlignment="1">
      <alignment vertical="center"/>
    </xf>
    <xf numFmtId="180" fontId="0" fillId="0" borderId="0" xfId="0" applyNumberFormat="1" applyAlignment="1">
      <alignment horizontal="justify" vertical="center"/>
    </xf>
    <xf numFmtId="171" fontId="9" fillId="0" borderId="0" xfId="0" applyNumberFormat="1" applyFont="1" applyAlignment="1">
      <alignment vertical="top" wrapText="1"/>
    </xf>
    <xf numFmtId="211" fontId="16" fillId="0" borderId="0" xfId="10" applyNumberFormat="1" applyFont="1" applyFill="1" applyAlignment="1">
      <alignment horizontal="center" vertical="top"/>
    </xf>
    <xf numFmtId="209" fontId="9" fillId="0" borderId="0" xfId="0" applyNumberFormat="1" applyFont="1" applyAlignment="1">
      <alignment horizontal="center" vertical="top" wrapText="1"/>
    </xf>
    <xf numFmtId="9" fontId="9" fillId="0" borderId="0" xfId="0" applyNumberFormat="1" applyFont="1" applyAlignment="1">
      <alignment vertical="top" wrapText="1"/>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2" xfId="0" applyFont="1" applyFill="1" applyBorder="1" applyAlignment="1">
      <alignment horizontal="centerContinuous" vertical="center"/>
    </xf>
    <xf numFmtId="0" fontId="9" fillId="0" borderId="2" xfId="0" applyFont="1" applyFill="1" applyBorder="1" applyAlignment="1">
      <alignment horizontal="centerContinuous" vertical="center"/>
    </xf>
    <xf numFmtId="174" fontId="9" fillId="0" borderId="1" xfId="3" applyNumberFormat="1" applyFont="1" applyFill="1" applyBorder="1" applyAlignment="1">
      <alignment vertical="center"/>
    </xf>
    <xf numFmtId="171" fontId="9" fillId="0" borderId="1" xfId="3" applyFont="1" applyFill="1" applyBorder="1" applyAlignment="1">
      <alignment vertical="center"/>
    </xf>
    <xf numFmtId="174" fontId="4" fillId="0" borderId="9" xfId="3" applyNumberFormat="1" applyFont="1" applyFill="1" applyBorder="1" applyAlignment="1">
      <alignment vertical="center"/>
    </xf>
    <xf numFmtId="171" fontId="4" fillId="0" borderId="9" xfId="3" applyFont="1" applyFill="1" applyBorder="1" applyAlignment="1">
      <alignment vertical="center"/>
    </xf>
    <xf numFmtId="174" fontId="4" fillId="0" borderId="3" xfId="3" applyNumberFormat="1" applyFont="1" applyFill="1" applyBorder="1" applyAlignment="1">
      <alignment vertical="center"/>
    </xf>
    <xf numFmtId="171" fontId="4" fillId="0" borderId="3" xfId="3" applyFont="1" applyFill="1" applyBorder="1" applyAlignment="1">
      <alignment vertical="center"/>
    </xf>
    <xf numFmtId="0" fontId="4" fillId="0" borderId="3" xfId="0" applyFont="1" applyFill="1" applyBorder="1" applyAlignment="1">
      <alignment horizontal="centerContinuous" vertical="center"/>
    </xf>
    <xf numFmtId="174" fontId="4" fillId="0" borderId="3" xfId="0" applyNumberFormat="1" applyFont="1" applyFill="1" applyBorder="1" applyAlignment="1">
      <alignment vertical="center"/>
    </xf>
    <xf numFmtId="3" fontId="9" fillId="0" borderId="0" xfId="0" applyNumberFormat="1" applyFont="1" applyFill="1" applyAlignment="1">
      <alignment vertical="center"/>
    </xf>
    <xf numFmtId="174" fontId="9" fillId="0" borderId="0" xfId="0" applyNumberFormat="1" applyFont="1" applyFill="1" applyAlignment="1">
      <alignment vertical="center"/>
    </xf>
    <xf numFmtId="171" fontId="9" fillId="0" borderId="0" xfId="0" applyNumberFormat="1" applyFont="1" applyFill="1" applyAlignment="1">
      <alignment vertical="center"/>
    </xf>
    <xf numFmtId="0" fontId="4" fillId="0" borderId="0" xfId="0" applyFont="1" applyFill="1" applyAlignment="1">
      <alignment vertical="center"/>
    </xf>
    <xf numFmtId="175" fontId="9" fillId="0" borderId="0" xfId="27" applyNumberFormat="1" applyFont="1" applyAlignment="1">
      <alignment horizontal="center" vertical="top" wrapText="1"/>
    </xf>
    <xf numFmtId="175" fontId="8" fillId="2" borderId="2" xfId="27" applyNumberFormat="1" applyFont="1" applyFill="1" applyBorder="1" applyAlignment="1">
      <alignment horizontal="center" vertical="top" wrapText="1"/>
    </xf>
    <xf numFmtId="171" fontId="0" fillId="0" borderId="0" xfId="3" applyFont="1" applyFill="1" applyAlignment="1">
      <alignment horizontal="centerContinuous" vertical="center"/>
    </xf>
    <xf numFmtId="171" fontId="0" fillId="0" borderId="0" xfId="3" applyFont="1" applyFill="1" applyAlignment="1">
      <alignment vertical="center"/>
    </xf>
    <xf numFmtId="178" fontId="1" fillId="0" borderId="7" xfId="3" applyNumberFormat="1" applyFill="1" applyBorder="1" applyAlignment="1">
      <alignment vertical="center"/>
    </xf>
    <xf numFmtId="171" fontId="0" fillId="0" borderId="7" xfId="3" applyFont="1" applyFill="1" applyBorder="1" applyAlignment="1">
      <alignment vertical="center"/>
    </xf>
    <xf numFmtId="174" fontId="0" fillId="0" borderId="0" xfId="0" applyNumberFormat="1" applyAlignment="1">
      <alignment vertical="center"/>
    </xf>
    <xf numFmtId="196" fontId="37" fillId="0" borderId="0" xfId="10" applyNumberFormat="1" applyFont="1" applyFill="1" applyBorder="1" applyAlignment="1">
      <alignment horizontal="right" vertical="center"/>
    </xf>
    <xf numFmtId="171" fontId="16" fillId="0" borderId="0" xfId="10" applyFont="1" applyFill="1" applyAlignment="1">
      <alignment horizontal="center" vertical="top"/>
    </xf>
    <xf numFmtId="171" fontId="16" fillId="0" borderId="0" xfId="10" applyFont="1" applyFill="1" applyBorder="1" applyAlignment="1">
      <alignment horizontal="center" vertical="top"/>
    </xf>
    <xf numFmtId="171" fontId="16" fillId="0" borderId="0" xfId="10" applyFont="1" applyFill="1" applyBorder="1" applyAlignment="1">
      <alignment horizontal="left" vertical="top"/>
    </xf>
    <xf numFmtId="171" fontId="9" fillId="0" borderId="0" xfId="3" applyFont="1" applyAlignment="1">
      <alignment vertical="top" wrapText="1"/>
    </xf>
    <xf numFmtId="175" fontId="0" fillId="0" borderId="0" xfId="27" applyNumberFormat="1" applyFont="1" applyAlignment="1">
      <alignment horizontal="justify" vertical="center"/>
    </xf>
    <xf numFmtId="9" fontId="0" fillId="0" borderId="0" xfId="27" applyFont="1" applyAlignment="1">
      <alignment vertical="center"/>
    </xf>
    <xf numFmtId="0" fontId="29" fillId="0" borderId="1" xfId="23" applyFont="1" applyFill="1" applyBorder="1" applyAlignment="1">
      <alignment wrapText="1"/>
    </xf>
    <xf numFmtId="211" fontId="16" fillId="0" borderId="0" xfId="10" applyNumberFormat="1" applyFont="1" applyFill="1" applyBorder="1" applyAlignment="1">
      <alignment horizontal="center" vertical="center"/>
    </xf>
    <xf numFmtId="211" fontId="16" fillId="0" borderId="0" xfId="10" applyNumberFormat="1" applyFont="1" applyFill="1" applyBorder="1" applyAlignment="1">
      <alignment vertical="center"/>
    </xf>
    <xf numFmtId="211" fontId="3" fillId="0" borderId="2" xfId="10" applyNumberFormat="1" applyFont="1" applyFill="1" applyBorder="1" applyAlignment="1">
      <alignment vertical="center"/>
    </xf>
    <xf numFmtId="9" fontId="3" fillId="0" borderId="2" xfId="28" applyFont="1" applyFill="1" applyBorder="1" applyAlignment="1">
      <alignment horizontal="center" vertical="center"/>
    </xf>
    <xf numFmtId="211" fontId="3" fillId="0" borderId="0" xfId="10" applyNumberFormat="1" applyFont="1" applyFill="1" applyBorder="1" applyAlignment="1">
      <alignment vertical="center"/>
    </xf>
    <xf numFmtId="222" fontId="3" fillId="0" borderId="2" xfId="10" applyNumberFormat="1" applyFont="1" applyFill="1" applyBorder="1" applyAlignment="1">
      <alignment vertical="center"/>
    </xf>
    <xf numFmtId="211" fontId="32" fillId="0" borderId="2" xfId="10" applyNumberFormat="1" applyFont="1" applyFill="1" applyBorder="1" applyAlignment="1">
      <alignment vertical="center"/>
    </xf>
    <xf numFmtId="9" fontId="32" fillId="0" borderId="2" xfId="28" applyFont="1" applyFill="1" applyBorder="1" applyAlignment="1">
      <alignment horizontal="center" vertical="center"/>
    </xf>
    <xf numFmtId="211" fontId="3" fillId="0" borderId="0" xfId="10" applyNumberFormat="1" applyFont="1" applyFill="1" applyAlignment="1">
      <alignment vertical="center"/>
    </xf>
    <xf numFmtId="211" fontId="3" fillId="0" borderId="13" xfId="10" applyNumberFormat="1" applyFont="1" applyFill="1" applyBorder="1" applyAlignment="1">
      <alignment vertical="center"/>
    </xf>
    <xf numFmtId="9" fontId="3" fillId="0" borderId="13" xfId="28" applyFont="1" applyFill="1" applyBorder="1" applyAlignment="1">
      <alignment horizontal="center" vertical="center"/>
    </xf>
    <xf numFmtId="211" fontId="16" fillId="0" borderId="2" xfId="10" applyNumberFormat="1" applyFont="1" applyFill="1" applyBorder="1" applyAlignment="1">
      <alignment vertical="center"/>
    </xf>
    <xf numFmtId="171" fontId="3" fillId="0" borderId="0" xfId="10" applyFont="1" applyFill="1" applyAlignment="1">
      <alignment vertical="center"/>
    </xf>
    <xf numFmtId="211" fontId="17" fillId="0" borderId="0" xfId="10" applyNumberFormat="1" applyFont="1" applyFill="1" applyAlignment="1"/>
    <xf numFmtId="9" fontId="3" fillId="0" borderId="0" xfId="0" applyNumberFormat="1" applyFont="1" applyFill="1" applyAlignment="1">
      <alignment horizontal="left" vertical="top"/>
    </xf>
    <xf numFmtId="9" fontId="16" fillId="0" borderId="0" xfId="0" applyNumberFormat="1" applyFont="1" applyFill="1" applyAlignment="1">
      <alignment horizontal="center" vertical="top"/>
    </xf>
    <xf numFmtId="0" fontId="17" fillId="0" borderId="0" xfId="0" applyFont="1" applyFill="1"/>
    <xf numFmtId="221" fontId="16" fillId="0" borderId="0" xfId="0" applyNumberFormat="1" applyFont="1" applyFill="1" applyAlignment="1">
      <alignment horizontal="left" vertical="top"/>
    </xf>
    <xf numFmtId="14" fontId="16" fillId="0" borderId="0" xfId="0" applyNumberFormat="1" applyFont="1" applyFill="1" applyAlignment="1">
      <alignment horizontal="center" vertical="top"/>
    </xf>
    <xf numFmtId="14" fontId="3" fillId="0" borderId="0" xfId="0" applyNumberFormat="1" applyFont="1" applyFill="1" applyAlignment="1">
      <alignment horizontal="left" vertical="top"/>
    </xf>
    <xf numFmtId="9" fontId="16" fillId="0" borderId="0" xfId="0" applyNumberFormat="1" applyFont="1" applyFill="1" applyAlignment="1">
      <alignment horizontal="left" vertical="top"/>
    </xf>
    <xf numFmtId="4" fontId="16" fillId="0" borderId="0" xfId="0" applyNumberFormat="1" applyFont="1" applyFill="1" applyAlignment="1">
      <alignment vertical="center"/>
    </xf>
    <xf numFmtId="0" fontId="3" fillId="0" borderId="0" xfId="0" applyFont="1" applyFill="1" applyAlignment="1">
      <alignment horizontal="center"/>
    </xf>
    <xf numFmtId="0" fontId="16" fillId="0" borderId="0" xfId="0" applyFont="1" applyFill="1" applyAlignment="1">
      <alignment horizontal="center" vertical="top"/>
    </xf>
    <xf numFmtId="43" fontId="16" fillId="0" borderId="0" xfId="0" applyNumberFormat="1" applyFont="1" applyFill="1" applyAlignment="1">
      <alignment horizontal="center" vertical="top"/>
    </xf>
    <xf numFmtId="4" fontId="16" fillId="0" borderId="0" xfId="0" applyNumberFormat="1" applyFont="1" applyFill="1" applyAlignment="1">
      <alignment horizontal="center" vertical="top"/>
    </xf>
    <xf numFmtId="4" fontId="3" fillId="0" borderId="0" xfId="0" applyNumberFormat="1" applyFont="1" applyFill="1" applyAlignment="1">
      <alignment horizontal="center"/>
    </xf>
    <xf numFmtId="0" fontId="3" fillId="0" borderId="13" xfId="0" applyFont="1" applyFill="1" applyBorder="1" applyAlignment="1">
      <alignment horizontal="center" vertical="center"/>
    </xf>
    <xf numFmtId="0" fontId="16" fillId="0" borderId="4" xfId="0" applyFont="1" applyFill="1" applyBorder="1" applyAlignment="1">
      <alignment horizontal="center"/>
    </xf>
    <xf numFmtId="9" fontId="16" fillId="0" borderId="2" xfId="0" applyNumberFormat="1" applyFont="1" applyFill="1" applyBorder="1" applyAlignment="1">
      <alignment horizontal="center" vertical="center"/>
    </xf>
    <xf numFmtId="0" fontId="3" fillId="0" borderId="0" xfId="0" applyFont="1" applyFill="1" applyAlignment="1">
      <alignment horizontal="center" vertical="center"/>
    </xf>
    <xf numFmtId="0" fontId="16" fillId="0" borderId="0" xfId="0" applyFont="1" applyFill="1" applyAlignment="1">
      <alignment horizontal="center" vertical="center"/>
    </xf>
    <xf numFmtId="9" fontId="16" fillId="0" borderId="0" xfId="0" applyNumberFormat="1" applyFont="1" applyFill="1" applyAlignment="1">
      <alignment horizontal="center" vertical="center"/>
    </xf>
    <xf numFmtId="0" fontId="18" fillId="0" borderId="14" xfId="0" applyFont="1" applyFill="1" applyBorder="1" applyAlignment="1">
      <alignment horizontal="left" vertical="center"/>
    </xf>
    <xf numFmtId="15" fontId="16" fillId="0" borderId="14" xfId="0" applyNumberFormat="1" applyFont="1" applyFill="1" applyBorder="1" applyAlignment="1">
      <alignment horizontal="center" vertical="center"/>
    </xf>
    <xf numFmtId="15" fontId="16" fillId="0" borderId="0" xfId="0" applyNumberFormat="1" applyFont="1" applyFill="1" applyAlignment="1">
      <alignment horizontal="center" vertical="center"/>
    </xf>
    <xf numFmtId="9" fontId="16" fillId="0" borderId="0" xfId="28" applyFont="1" applyFill="1" applyBorder="1" applyAlignment="1">
      <alignment horizontal="center" vertical="center"/>
    </xf>
    <xf numFmtId="3" fontId="16" fillId="0" borderId="0" xfId="0" applyNumberFormat="1" applyFont="1" applyFill="1" applyAlignment="1">
      <alignment horizontal="center" vertical="center"/>
    </xf>
    <xf numFmtId="0" fontId="3" fillId="0" borderId="15" xfId="0" applyFont="1" applyFill="1" applyBorder="1" applyAlignment="1">
      <alignment vertical="center"/>
    </xf>
    <xf numFmtId="15" fontId="3" fillId="0" borderId="15" xfId="0" applyNumberFormat="1" applyFont="1" applyFill="1" applyBorder="1" applyAlignment="1">
      <alignment horizontal="center" vertical="center"/>
    </xf>
    <xf numFmtId="15" fontId="3" fillId="0" borderId="2" xfId="0" applyNumberFormat="1" applyFont="1" applyFill="1" applyBorder="1" applyAlignment="1">
      <alignment horizontal="center" vertical="center" wrapText="1"/>
    </xf>
    <xf numFmtId="4" fontId="3" fillId="0" borderId="15" xfId="0" applyNumberFormat="1" applyFont="1" applyFill="1" applyBorder="1" applyAlignment="1">
      <alignment vertical="center"/>
    </xf>
    <xf numFmtId="4" fontId="3" fillId="0" borderId="2" xfId="0" applyNumberFormat="1" applyFont="1" applyFill="1" applyBorder="1" applyAlignment="1">
      <alignment vertical="center"/>
    </xf>
    <xf numFmtId="4" fontId="3" fillId="0" borderId="4"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15" fontId="3" fillId="0" borderId="2"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xf>
    <xf numFmtId="1" fontId="3" fillId="0" borderId="2" xfId="0" applyNumberFormat="1" applyFont="1" applyFill="1" applyBorder="1" applyAlignment="1">
      <alignment horizontal="center" vertical="center"/>
    </xf>
    <xf numFmtId="0" fontId="17" fillId="0" borderId="0" xfId="0" applyFont="1" applyFill="1" applyAlignment="1">
      <alignment vertical="center"/>
    </xf>
    <xf numFmtId="14" fontId="3" fillId="0" borderId="2" xfId="0" applyNumberFormat="1" applyFont="1" applyFill="1" applyBorder="1" applyAlignment="1">
      <alignment vertical="center"/>
    </xf>
    <xf numFmtId="15" fontId="3" fillId="0" borderId="2" xfId="0" applyNumberFormat="1" applyFont="1" applyFill="1" applyBorder="1" applyAlignment="1">
      <alignment horizontal="left" vertical="center"/>
    </xf>
    <xf numFmtId="4" fontId="3" fillId="0" borderId="2" xfId="0" applyNumberFormat="1" applyFont="1" applyFill="1" applyBorder="1" applyAlignment="1">
      <alignment horizontal="right"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left" vertical="center"/>
    </xf>
    <xf numFmtId="3" fontId="3" fillId="0" borderId="2" xfId="0" applyNumberFormat="1" applyFont="1" applyFill="1" applyBorder="1" applyAlignment="1">
      <alignment horizontal="center" vertical="center"/>
    </xf>
    <xf numFmtId="0" fontId="3" fillId="0" borderId="13" xfId="0" applyFont="1" applyFill="1" applyBorder="1" applyAlignment="1">
      <alignment horizontal="left" vertical="center"/>
    </xf>
    <xf numFmtId="14" fontId="3" fillId="0" borderId="2" xfId="0" applyNumberFormat="1" applyFont="1" applyFill="1" applyBorder="1" applyAlignment="1">
      <alignment horizontal="left" vertical="center"/>
    </xf>
    <xf numFmtId="4" fontId="3" fillId="0" borderId="2" xfId="0" applyNumberFormat="1" applyFont="1" applyFill="1" applyBorder="1" applyAlignment="1">
      <alignment horizontal="center" vertical="center"/>
    </xf>
    <xf numFmtId="0" fontId="3" fillId="0" borderId="16" xfId="0" applyFont="1" applyFill="1" applyBorder="1" applyAlignment="1">
      <alignment horizontal="left" vertical="center"/>
    </xf>
    <xf numFmtId="0" fontId="3" fillId="0" borderId="11" xfId="0" applyFont="1" applyFill="1" applyBorder="1" applyAlignment="1">
      <alignment horizontal="left" vertical="center"/>
    </xf>
    <xf numFmtId="4" fontId="3" fillId="0" borderId="0" xfId="0" applyNumberFormat="1" applyFont="1" applyFill="1" applyAlignment="1">
      <alignment vertical="center"/>
    </xf>
    <xf numFmtId="4" fontId="3" fillId="0" borderId="13" xfId="0" applyNumberFormat="1" applyFont="1" applyFill="1" applyBorder="1" applyAlignment="1">
      <alignment vertical="center"/>
    </xf>
    <xf numFmtId="0" fontId="18" fillId="0" borderId="2" xfId="0" applyFont="1" applyFill="1" applyBorder="1" applyAlignment="1">
      <alignment horizontal="left" vertical="center"/>
    </xf>
    <xf numFmtId="4" fontId="16" fillId="0" borderId="2" xfId="0" applyNumberFormat="1" applyFont="1" applyFill="1" applyBorder="1" applyAlignment="1">
      <alignment vertical="center"/>
    </xf>
    <xf numFmtId="4" fontId="16" fillId="0" borderId="4" xfId="0" applyNumberFormat="1" applyFont="1" applyFill="1" applyBorder="1" applyAlignment="1">
      <alignment vertical="center"/>
    </xf>
    <xf numFmtId="0" fontId="28" fillId="0" borderId="0" xfId="0" applyFont="1" applyFill="1" applyAlignment="1">
      <alignment vertical="center"/>
    </xf>
    <xf numFmtId="15" fontId="3" fillId="0" borderId="0" xfId="0" applyNumberFormat="1" applyFont="1" applyFill="1" applyAlignment="1">
      <alignment horizontal="center" vertical="center"/>
    </xf>
    <xf numFmtId="0" fontId="3" fillId="0" borderId="0" xfId="0" applyFont="1" applyFill="1" applyAlignment="1">
      <alignment vertical="center"/>
    </xf>
    <xf numFmtId="9" fontId="3" fillId="0" borderId="0" xfId="0" applyNumberFormat="1" applyFont="1" applyFill="1" applyAlignment="1">
      <alignment horizontal="center" vertical="center"/>
    </xf>
    <xf numFmtId="15" fontId="3" fillId="0" borderId="2" xfId="0" applyNumberFormat="1" applyFont="1" applyFill="1" applyBorder="1" applyAlignment="1">
      <alignment vertical="center"/>
    </xf>
    <xf numFmtId="15" fontId="3" fillId="0" borderId="7" xfId="0" applyNumberFormat="1" applyFont="1" applyFill="1" applyBorder="1" applyAlignment="1">
      <alignment horizontal="center" vertical="center"/>
    </xf>
    <xf numFmtId="181" fontId="3" fillId="0" borderId="2" xfId="0" applyNumberFormat="1" applyFont="1" applyFill="1" applyBorder="1" applyAlignment="1">
      <alignment horizontal="center" vertical="center"/>
    </xf>
    <xf numFmtId="14" fontId="3" fillId="0" borderId="2" xfId="0" applyNumberFormat="1" applyFont="1" applyFill="1" applyBorder="1" applyAlignment="1">
      <alignment horizontal="center" vertical="center"/>
    </xf>
    <xf numFmtId="49" fontId="3" fillId="0" borderId="13" xfId="0" applyNumberFormat="1" applyFont="1" applyFill="1" applyBorder="1" applyAlignment="1">
      <alignment vertical="center"/>
    </xf>
    <xf numFmtId="0" fontId="32" fillId="0" borderId="2" xfId="0" applyFont="1" applyFill="1" applyBorder="1" applyAlignment="1">
      <alignment horizontal="left" vertical="center"/>
    </xf>
    <xf numFmtId="15" fontId="32" fillId="0" borderId="2" xfId="0" applyNumberFormat="1" applyFont="1" applyFill="1" applyBorder="1" applyAlignment="1">
      <alignment horizontal="center" vertical="center"/>
    </xf>
    <xf numFmtId="14" fontId="32" fillId="0" borderId="2" xfId="0" applyNumberFormat="1" applyFont="1" applyFill="1" applyBorder="1" applyAlignment="1">
      <alignment horizontal="center" vertical="center"/>
    </xf>
    <xf numFmtId="4" fontId="32" fillId="0" borderId="2" xfId="0" applyNumberFormat="1" applyFont="1" applyFill="1" applyBorder="1" applyAlignment="1">
      <alignment vertical="center"/>
    </xf>
    <xf numFmtId="4" fontId="32" fillId="0" borderId="0" xfId="0" applyNumberFormat="1" applyFont="1" applyFill="1" applyAlignment="1">
      <alignment vertical="center"/>
    </xf>
    <xf numFmtId="0" fontId="32" fillId="0" borderId="2" xfId="0" applyFont="1" applyFill="1" applyBorder="1" applyAlignment="1">
      <alignment horizontal="center" vertical="center"/>
    </xf>
    <xf numFmtId="0" fontId="35" fillId="0" borderId="0" xfId="0" applyFont="1" applyFill="1"/>
    <xf numFmtId="9" fontId="16" fillId="0" borderId="2" xfId="28" applyFont="1" applyFill="1" applyBorder="1" applyAlignment="1">
      <alignment horizontal="center" vertical="center"/>
    </xf>
    <xf numFmtId="3" fontId="16" fillId="0" borderId="2" xfId="28" applyNumberFormat="1" applyFont="1" applyFill="1" applyBorder="1" applyAlignment="1">
      <alignment horizontal="center" vertical="center"/>
    </xf>
    <xf numFmtId="1" fontId="16" fillId="0" borderId="0" xfId="0" applyNumberFormat="1" applyFont="1" applyFill="1" applyAlignment="1">
      <alignment vertical="center"/>
    </xf>
    <xf numFmtId="9" fontId="3" fillId="0" borderId="0" xfId="0" applyNumberFormat="1" applyFont="1" applyFill="1" applyAlignment="1">
      <alignment vertical="center"/>
    </xf>
    <xf numFmtId="0" fontId="3" fillId="0" borderId="13" xfId="0" applyFont="1" applyFill="1" applyBorder="1" applyAlignment="1">
      <alignment vertical="center"/>
    </xf>
    <xf numFmtId="15" fontId="3" fillId="0" borderId="13" xfId="0" applyNumberFormat="1" applyFont="1" applyFill="1" applyBorder="1" applyAlignment="1">
      <alignment horizontal="center" vertical="center"/>
    </xf>
    <xf numFmtId="4" fontId="3" fillId="0" borderId="13" xfId="0" applyNumberFormat="1" applyFont="1" applyFill="1" applyBorder="1" applyAlignment="1">
      <alignment horizontal="right" vertical="center"/>
    </xf>
    <xf numFmtId="0" fontId="18" fillId="0" borderId="15" xfId="0" applyFont="1" applyFill="1" applyBorder="1" applyAlignment="1">
      <alignment horizontal="left" vertical="center"/>
    </xf>
    <xf numFmtId="4" fontId="16" fillId="0" borderId="15" xfId="0" applyNumberFormat="1" applyFont="1" applyFill="1" applyBorder="1" applyAlignment="1">
      <alignment vertical="center"/>
    </xf>
    <xf numFmtId="9" fontId="16" fillId="0" borderId="15" xfId="28" applyFont="1" applyFill="1" applyBorder="1" applyAlignment="1">
      <alignment horizontal="center" vertical="center"/>
    </xf>
    <xf numFmtId="3" fontId="16" fillId="0" borderId="15" xfId="0" applyNumberFormat="1" applyFont="1" applyFill="1" applyBorder="1" applyAlignment="1">
      <alignment horizontal="center" vertical="center"/>
    </xf>
    <xf numFmtId="1" fontId="16" fillId="0" borderId="0" xfId="0" applyNumberFormat="1" applyFont="1" applyFill="1" applyAlignment="1">
      <alignment horizontal="center" vertical="center"/>
    </xf>
    <xf numFmtId="0" fontId="28" fillId="0" borderId="0" xfId="0" applyFont="1" applyFill="1" applyAlignment="1">
      <alignment horizontal="left" vertical="center"/>
    </xf>
    <xf numFmtId="0" fontId="18" fillId="0" borderId="0" xfId="0" applyFont="1" applyFill="1" applyAlignment="1">
      <alignment horizontal="left" vertical="center"/>
    </xf>
    <xf numFmtId="4" fontId="3" fillId="0" borderId="14" xfId="0" applyNumberFormat="1" applyFont="1" applyFill="1" applyBorder="1" applyAlignment="1">
      <alignment vertical="center"/>
    </xf>
    <xf numFmtId="9" fontId="3" fillId="0" borderId="0" xfId="28" applyFont="1" applyFill="1" applyBorder="1" applyAlignment="1">
      <alignment horizontal="center" vertical="center"/>
    </xf>
    <xf numFmtId="1" fontId="16" fillId="0" borderId="2" xfId="0" applyNumberFormat="1" applyFont="1" applyFill="1" applyBorder="1" applyAlignment="1">
      <alignment horizontal="center" vertical="center"/>
    </xf>
    <xf numFmtId="3" fontId="16" fillId="0" borderId="2" xfId="0" applyNumberFormat="1" applyFont="1" applyFill="1" applyBorder="1" applyAlignment="1">
      <alignment horizontal="center" vertical="center"/>
    </xf>
    <xf numFmtId="4" fontId="3" fillId="0" borderId="11" xfId="0" applyNumberFormat="1" applyFont="1" applyFill="1" applyBorder="1" applyAlignment="1">
      <alignment horizontal="center" vertical="center"/>
    </xf>
    <xf numFmtId="4" fontId="3" fillId="0" borderId="11" xfId="0" applyNumberFormat="1" applyFont="1" applyFill="1" applyBorder="1" applyAlignment="1">
      <alignment vertical="center"/>
    </xf>
    <xf numFmtId="0" fontId="28" fillId="0" borderId="2" xfId="0" applyFont="1" applyFill="1" applyBorder="1" applyAlignment="1">
      <alignment horizontal="left" vertical="center"/>
    </xf>
    <xf numFmtId="4" fontId="16" fillId="0" borderId="0" xfId="0" applyNumberFormat="1" applyFont="1" applyFill="1" applyAlignment="1">
      <alignment horizontal="center" vertical="center"/>
    </xf>
    <xf numFmtId="4" fontId="16" fillId="0" borderId="2" xfId="0" applyNumberFormat="1" applyFont="1" applyFill="1" applyBorder="1" applyAlignment="1">
      <alignment horizontal="center" vertical="center"/>
    </xf>
    <xf numFmtId="0" fontId="18" fillId="0" borderId="17"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9" xfId="0" applyFont="1" applyFill="1" applyBorder="1" applyAlignment="1">
      <alignment horizontal="left" vertical="center"/>
    </xf>
    <xf numFmtId="4" fontId="16" fillId="0" borderId="17" xfId="0" applyNumberFormat="1" applyFont="1" applyFill="1" applyBorder="1" applyAlignment="1">
      <alignment vertical="center"/>
    </xf>
    <xf numFmtId="4" fontId="16" fillId="0" borderId="20" xfId="0" applyNumberFormat="1" applyFont="1" applyFill="1" applyBorder="1" applyAlignment="1">
      <alignment vertical="center"/>
    </xf>
    <xf numFmtId="9" fontId="16" fillId="0" borderId="21" xfId="0" applyNumberFormat="1" applyFont="1" applyFill="1" applyBorder="1" applyAlignment="1">
      <alignment vertical="center"/>
    </xf>
    <xf numFmtId="3" fontId="16" fillId="0" borderId="21" xfId="0" applyNumberFormat="1" applyFont="1" applyFill="1" applyBorder="1" applyAlignment="1">
      <alignment horizontal="center" vertical="center"/>
    </xf>
    <xf numFmtId="9" fontId="3" fillId="0" borderId="0" xfId="28" applyFont="1" applyFill="1" applyAlignment="1">
      <alignment vertical="center"/>
    </xf>
    <xf numFmtId="9" fontId="3" fillId="0" borderId="0" xfId="28" applyFont="1" applyFill="1" applyAlignment="1">
      <alignment horizontal="center" vertical="center"/>
    </xf>
    <xf numFmtId="0" fontId="17" fillId="0" borderId="0" xfId="0" applyFont="1" applyFill="1" applyAlignment="1">
      <alignment horizontal="center"/>
    </xf>
    <xf numFmtId="9" fontId="17" fillId="0" borderId="0" xfId="0" applyNumberFormat="1" applyFont="1" applyFill="1" applyAlignment="1">
      <alignment horizontal="center"/>
    </xf>
    <xf numFmtId="9" fontId="17" fillId="0" borderId="0" xfId="0" applyNumberFormat="1" applyFont="1" applyFill="1"/>
    <xf numFmtId="43" fontId="0" fillId="0" borderId="0" xfId="0" applyNumberFormat="1" applyAlignment="1">
      <alignment vertical="center"/>
    </xf>
    <xf numFmtId="0" fontId="9" fillId="0" borderId="2" xfId="0" applyFont="1" applyFill="1" applyBorder="1" applyAlignment="1">
      <alignment horizontal="center" vertical="center" wrapText="1"/>
    </xf>
    <xf numFmtId="0" fontId="9" fillId="0" borderId="2" xfId="26" applyFont="1" applyFill="1" applyBorder="1" applyAlignment="1">
      <alignment horizontal="center" vertical="center"/>
    </xf>
    <xf numFmtId="170" fontId="9" fillId="0" borderId="22" xfId="25"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70" fontId="9" fillId="0" borderId="25" xfId="25" applyNumberFormat="1"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170" fontId="9" fillId="0" borderId="22" xfId="25" applyNumberFormat="1" applyFont="1" applyFill="1" applyBorder="1" applyAlignment="1">
      <alignment vertical="center" wrapText="1"/>
    </xf>
    <xf numFmtId="0" fontId="0" fillId="0" borderId="23" xfId="0" applyFill="1" applyBorder="1" applyAlignment="1">
      <alignment vertical="center"/>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11" fillId="5" borderId="2" xfId="0" applyFont="1" applyFill="1" applyBorder="1" applyAlignment="1">
      <alignment horizontal="center" vertical="center" textRotation="90" wrapText="1"/>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0" borderId="0" xfId="0" applyFont="1" applyAlignment="1">
      <alignment horizontal="center"/>
    </xf>
    <xf numFmtId="0" fontId="0" fillId="0" borderId="15" xfId="0" applyBorder="1" applyAlignment="1">
      <alignment wrapText="1"/>
    </xf>
    <xf numFmtId="0" fontId="3" fillId="0" borderId="0" xfId="0" applyFont="1" applyAlignment="1">
      <alignment vertical="center" wrapText="1"/>
    </xf>
    <xf numFmtId="0" fontId="15" fillId="0" borderId="0" xfId="0" applyFont="1" applyAlignment="1">
      <alignment vertical="center" wrapText="1"/>
    </xf>
    <xf numFmtId="0" fontId="16" fillId="0" borderId="2" xfId="0" applyFont="1" applyFill="1" applyBorder="1" applyAlignment="1">
      <alignment horizontal="center" vertical="center" wrapText="1"/>
    </xf>
    <xf numFmtId="211" fontId="16" fillId="0" borderId="2" xfId="10" applyNumberFormat="1" applyFont="1" applyFill="1" applyBorder="1" applyAlignment="1">
      <alignment horizontal="center" vertical="center" wrapText="1"/>
    </xf>
    <xf numFmtId="9" fontId="16" fillId="0" borderId="2" xfId="0" applyNumberFormat="1" applyFont="1" applyFill="1" applyBorder="1" applyAlignment="1">
      <alignment horizont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cellXfs>
  <cellStyles count="36">
    <cellStyle name="Euro" xfId="1"/>
    <cellStyle name="Euro 2" xfId="2"/>
    <cellStyle name="Millares" xfId="3" builtinId="3"/>
    <cellStyle name="Millares [0] 2" xfId="4"/>
    <cellStyle name="Millares [0] 2 2" xfId="5"/>
    <cellStyle name="Millares [0] 2 3" xfId="6"/>
    <cellStyle name="Millares [0] 3" xfId="7"/>
    <cellStyle name="Millares [0] 4" xfId="8"/>
    <cellStyle name="Millares [0] 5" xfId="9"/>
    <cellStyle name="Millares 2" xfId="10"/>
    <cellStyle name="Millares 2 2" xfId="11"/>
    <cellStyle name="Millares 3" xfId="12"/>
    <cellStyle name="Millares 3 2" xfId="13"/>
    <cellStyle name="Millares 3 3" xfId="14"/>
    <cellStyle name="Millares 3 4" xfId="15"/>
    <cellStyle name="Millares 4" xfId="16"/>
    <cellStyle name="Millares 5" xfId="17"/>
    <cellStyle name="Moneda 2" xfId="18"/>
    <cellStyle name="Normal" xfId="0" builtinId="0"/>
    <cellStyle name="Normal 14" xfId="19"/>
    <cellStyle name="Normal 2" xfId="20"/>
    <cellStyle name="Normal 3" xfId="21"/>
    <cellStyle name="Normal 6" xfId="22"/>
    <cellStyle name="Normal_4" xfId="23"/>
    <cellStyle name="Normal_Hoja1" xfId="24"/>
    <cellStyle name="Normal_Hoja2" xfId="25"/>
    <cellStyle name="Normal_PCD" xfId="26"/>
    <cellStyle name="Porcentaje" xfId="27" builtinId="5"/>
    <cellStyle name="Porcentaje 2" xfId="28"/>
    <cellStyle name="Porcentaje 2 2" xfId="29"/>
    <cellStyle name="Porcentaje 3" xfId="30"/>
    <cellStyle name="Porcentaje 3 2" xfId="31"/>
    <cellStyle name="Porcentaje 3 3" xfId="32"/>
    <cellStyle name="Porcentaje 3 4" xfId="33"/>
    <cellStyle name="Porcentaje 4" xfId="34"/>
    <cellStyle name="Porcentaje 5" xfId="3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yac\Configuraci&#243;n%20local\Archivos%20temporales%20de%20Internet\OLK31\LIBRO%20GENERAL%20INFORMACION%204%20CASOS%20LOMAS%20DE%20DESAMPAR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SE&#209;OR%20DEL%20TRIUNF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UJARR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INFORMACION DE LA SOLUCION"/>
    </sheetNames>
    <sheetDataSet>
      <sheetData sheetId="0" refreshError="1">
        <row r="6">
          <cell r="B6" t="str">
            <v>AGUIRRE ADAMARLE</v>
          </cell>
        </row>
        <row r="7">
          <cell r="B7" t="str">
            <v>BEER ROCHA JILL</v>
          </cell>
        </row>
        <row r="8">
          <cell r="B8" t="str">
            <v>FUENTES RODRIGUEZ ALICIA</v>
          </cell>
        </row>
        <row r="9">
          <cell r="B9" t="str">
            <v>MEDINA BERRIOS LEILA</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s>
    <sheetDataSet>
      <sheetData sheetId="0">
        <row r="8">
          <cell r="B8" t="str">
            <v>ARGUEDAS VARGAS PAULINA</v>
          </cell>
        </row>
        <row r="9">
          <cell r="B9" t="str">
            <v>HERNANDEZ ANGULO MARVIN</v>
          </cell>
        </row>
        <row r="10">
          <cell r="B10" t="str">
            <v>GARCIA VALENCIA MARIA ELIZABET</v>
          </cell>
        </row>
        <row r="11">
          <cell r="B11" t="str">
            <v>VARGAS SEQUEIRA MARIA</v>
          </cell>
        </row>
        <row r="12">
          <cell r="B12" t="str">
            <v>VARGAS SEQUEIRA OLMAN EDUARDO</v>
          </cell>
        </row>
        <row r="13">
          <cell r="B13" t="str">
            <v>HIDALGO ESQUIVEL DULCELINA</v>
          </cell>
        </row>
        <row r="14">
          <cell r="B14" t="str">
            <v>HERRERA AGÜERO ORLANDO</v>
          </cell>
        </row>
        <row r="15">
          <cell r="B15" t="str">
            <v>CHAVARRIA MASIS RITA MARIA</v>
          </cell>
        </row>
        <row r="16">
          <cell r="B16" t="str">
            <v>MENA HERNANDEZ AURORA ANTONIA</v>
          </cell>
        </row>
        <row r="17">
          <cell r="B17" t="str">
            <v>PAEZ ZUÑIGA LILLIAM D.</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 val="Jul-18"/>
    </sheetNames>
    <sheetDataSet>
      <sheetData sheetId="0">
        <row r="11">
          <cell r="B11" t="str">
            <v>ALVARADO ZUÑIGA MARCELA MARIA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tabSelected="1" workbookViewId="0">
      <selection activeCell="C13" sqref="C13"/>
    </sheetView>
  </sheetViews>
  <sheetFormatPr baseColWidth="10" defaultRowHeight="12.75" x14ac:dyDescent="0.2"/>
  <cols>
    <col min="1" max="1" width="15.42578125" style="4" customWidth="1"/>
    <col min="2" max="3" width="19.85546875" style="4" customWidth="1"/>
    <col min="4" max="4" width="18.42578125" style="4" customWidth="1"/>
    <col min="5" max="5" width="20.42578125" style="4" customWidth="1"/>
    <col min="6" max="6" width="17.5703125" style="4" bestFit="1" customWidth="1"/>
    <col min="7" max="7" width="11.42578125" style="4"/>
    <col min="8" max="8" width="24.42578125" style="4" bestFit="1" customWidth="1"/>
    <col min="9" max="9" width="19" style="4" bestFit="1" customWidth="1"/>
    <col min="10" max="16384" width="11.42578125" style="4"/>
  </cols>
  <sheetData>
    <row r="1" spans="1:9" x14ac:dyDescent="0.2">
      <c r="A1" s="1" t="s">
        <v>62</v>
      </c>
      <c r="B1" s="1"/>
      <c r="C1" s="1"/>
      <c r="D1" s="2"/>
      <c r="E1" s="2"/>
      <c r="F1" s="3"/>
    </row>
    <row r="2" spans="1:9" x14ac:dyDescent="0.2">
      <c r="A2" s="1" t="s">
        <v>63</v>
      </c>
      <c r="B2" s="1"/>
      <c r="C2" s="1"/>
      <c r="D2" s="2"/>
      <c r="E2" s="2"/>
      <c r="F2" s="3"/>
    </row>
    <row r="3" spans="1:9" x14ac:dyDescent="0.2">
      <c r="D3" s="5"/>
      <c r="E3" s="5"/>
      <c r="F3" s="3"/>
    </row>
    <row r="4" spans="1:9" x14ac:dyDescent="0.2">
      <c r="A4" s="6" t="s">
        <v>64</v>
      </c>
      <c r="B4" s="1"/>
      <c r="C4" s="1"/>
      <c r="D4" s="2"/>
      <c r="E4" s="2"/>
      <c r="F4" s="3"/>
    </row>
    <row r="5" spans="1:9" x14ac:dyDescent="0.2">
      <c r="A5" s="6" t="s">
        <v>1192</v>
      </c>
      <c r="B5" s="1"/>
      <c r="C5" s="1"/>
      <c r="D5" s="2"/>
      <c r="E5" s="2"/>
      <c r="F5" s="3"/>
    </row>
    <row r="6" spans="1:9" x14ac:dyDescent="0.2">
      <c r="A6" s="48" t="s">
        <v>1193</v>
      </c>
      <c r="B6" s="1"/>
      <c r="C6" s="1"/>
      <c r="D6" s="2"/>
      <c r="E6" s="2"/>
    </row>
    <row r="7" spans="1:9" x14ac:dyDescent="0.2">
      <c r="A7" s="1" t="s">
        <v>65</v>
      </c>
      <c r="B7" s="1"/>
      <c r="C7" s="1"/>
      <c r="D7" s="2"/>
      <c r="E7" s="2"/>
    </row>
    <row r="8" spans="1:9" x14ac:dyDescent="0.2">
      <c r="A8" s="7"/>
      <c r="B8" s="1"/>
      <c r="C8" s="1"/>
      <c r="D8" s="1"/>
    </row>
    <row r="9" spans="1:9" ht="43.5" customHeight="1" x14ac:dyDescent="0.2">
      <c r="A9" s="8" t="s">
        <v>66</v>
      </c>
      <c r="B9" s="8" t="s">
        <v>165</v>
      </c>
      <c r="C9" s="8" t="s">
        <v>166</v>
      </c>
      <c r="D9" s="8" t="s">
        <v>167</v>
      </c>
      <c r="E9" s="8" t="s">
        <v>67</v>
      </c>
    </row>
    <row r="10" spans="1:9" x14ac:dyDescent="0.2">
      <c r="A10" s="9"/>
      <c r="B10" s="9"/>
      <c r="C10" s="9"/>
      <c r="D10" s="9"/>
      <c r="E10" s="9"/>
    </row>
    <row r="11" spans="1:9" x14ac:dyDescent="0.2">
      <c r="A11" s="10">
        <v>42370</v>
      </c>
      <c r="B11" s="46"/>
      <c r="C11" s="46">
        <v>5649850000</v>
      </c>
      <c r="D11" s="46"/>
      <c r="E11" s="46">
        <f>SUM(B11:D11)</f>
        <v>5649850000</v>
      </c>
      <c r="F11" s="117"/>
      <c r="G11" s="117"/>
      <c r="H11" s="117"/>
    </row>
    <row r="12" spans="1:9" x14ac:dyDescent="0.2">
      <c r="A12" s="10">
        <v>42401</v>
      </c>
      <c r="B12" s="46"/>
      <c r="C12" s="46">
        <v>5649850000</v>
      </c>
      <c r="D12" s="46"/>
      <c r="E12" s="46">
        <f>SUM(B12:D12)</f>
        <v>5649850000</v>
      </c>
      <c r="F12" s="117"/>
      <c r="G12" s="117"/>
      <c r="H12" s="117"/>
    </row>
    <row r="13" spans="1:9" x14ac:dyDescent="0.2">
      <c r="A13" s="10">
        <v>42430</v>
      </c>
      <c r="B13" s="46"/>
      <c r="C13" s="46">
        <v>5649850000</v>
      </c>
      <c r="D13" s="46"/>
      <c r="E13" s="46">
        <f>SUM(B13:D13)</f>
        <v>5649850000</v>
      </c>
      <c r="F13" s="117"/>
      <c r="G13" s="117"/>
      <c r="H13" s="117"/>
    </row>
    <row r="14" spans="1:9" x14ac:dyDescent="0.2">
      <c r="A14" s="10">
        <v>42461</v>
      </c>
      <c r="B14" s="46"/>
      <c r="C14" s="46"/>
      <c r="D14" s="46"/>
      <c r="E14" s="46">
        <f t="shared" ref="E14:E22" si="0">SUM(B14:D14)</f>
        <v>0</v>
      </c>
      <c r="F14" s="71"/>
    </row>
    <row r="15" spans="1:9" x14ac:dyDescent="0.2">
      <c r="A15" s="10">
        <v>42491</v>
      </c>
      <c r="B15" s="46"/>
      <c r="C15" s="46"/>
      <c r="D15" s="46"/>
      <c r="E15" s="46">
        <f t="shared" si="0"/>
        <v>0</v>
      </c>
      <c r="F15" s="70"/>
    </row>
    <row r="16" spans="1:9" x14ac:dyDescent="0.2">
      <c r="A16" s="10">
        <v>42522</v>
      </c>
      <c r="B16" s="46"/>
      <c r="C16" s="46"/>
      <c r="D16" s="46"/>
      <c r="E16" s="46">
        <f t="shared" si="0"/>
        <v>0</v>
      </c>
      <c r="H16" s="21"/>
      <c r="I16" s="75"/>
    </row>
    <row r="17" spans="1:7" x14ac:dyDescent="0.2">
      <c r="A17" s="10">
        <v>42552</v>
      </c>
      <c r="B17" s="46"/>
      <c r="C17" s="46"/>
      <c r="D17" s="46"/>
      <c r="E17" s="46">
        <f t="shared" si="0"/>
        <v>0</v>
      </c>
      <c r="F17" s="21"/>
      <c r="G17" s="21"/>
    </row>
    <row r="18" spans="1:7" x14ac:dyDescent="0.2">
      <c r="A18" s="10">
        <v>42583</v>
      </c>
      <c r="B18" s="46"/>
      <c r="C18" s="46"/>
      <c r="D18" s="46"/>
      <c r="E18" s="46">
        <f t="shared" si="0"/>
        <v>0</v>
      </c>
      <c r="F18" s="21"/>
      <c r="G18" s="21"/>
    </row>
    <row r="19" spans="1:7" x14ac:dyDescent="0.2">
      <c r="A19" s="10">
        <v>42614</v>
      </c>
      <c r="B19" s="46"/>
      <c r="C19" s="46"/>
      <c r="D19" s="46"/>
      <c r="E19" s="46">
        <f t="shared" si="0"/>
        <v>0</v>
      </c>
    </row>
    <row r="20" spans="1:7" x14ac:dyDescent="0.2">
      <c r="A20" s="10">
        <v>42644</v>
      </c>
      <c r="B20" s="46"/>
      <c r="C20" s="46"/>
      <c r="D20" s="46"/>
      <c r="E20" s="46">
        <f t="shared" si="0"/>
        <v>0</v>
      </c>
      <c r="F20" s="21"/>
      <c r="G20" s="21"/>
    </row>
    <row r="21" spans="1:7" x14ac:dyDescent="0.2">
      <c r="A21" s="10">
        <v>42675</v>
      </c>
      <c r="B21" s="46"/>
      <c r="C21" s="46"/>
      <c r="D21" s="46"/>
      <c r="E21" s="46">
        <f t="shared" si="0"/>
        <v>0</v>
      </c>
      <c r="F21" s="21"/>
      <c r="G21" s="21"/>
    </row>
    <row r="22" spans="1:7" x14ac:dyDescent="0.2">
      <c r="A22" s="10">
        <v>42705</v>
      </c>
      <c r="B22" s="46"/>
      <c r="C22" s="46"/>
      <c r="D22" s="46"/>
      <c r="E22" s="46">
        <f t="shared" si="0"/>
        <v>0</v>
      </c>
    </row>
    <row r="23" spans="1:7" x14ac:dyDescent="0.2">
      <c r="A23" s="10"/>
      <c r="B23" s="11"/>
      <c r="C23" s="11"/>
      <c r="D23" s="11"/>
      <c r="E23" s="12"/>
    </row>
    <row r="24" spans="1:7" x14ac:dyDescent="0.2">
      <c r="A24" s="13" t="s">
        <v>68</v>
      </c>
      <c r="B24" s="47">
        <f>SUM(B11:B23)</f>
        <v>0</v>
      </c>
      <c r="C24" s="47">
        <f>SUM(C11:C23)</f>
        <v>16949550000</v>
      </c>
      <c r="D24" s="47">
        <f>SUM(D11:D23)</f>
        <v>0</v>
      </c>
      <c r="E24" s="47">
        <f>SUM(E11:E23)</f>
        <v>16949550000</v>
      </c>
    </row>
    <row r="25" spans="1:7" x14ac:dyDescent="0.2">
      <c r="E25" s="70">
        <f>+E24/1000000</f>
        <v>16949.55</v>
      </c>
      <c r="F25" s="72"/>
    </row>
    <row r="26" spans="1:7" x14ac:dyDescent="0.2">
      <c r="A26" s="49" t="s">
        <v>333</v>
      </c>
      <c r="B26" s="55"/>
      <c r="C26" s="76"/>
      <c r="D26" s="55"/>
      <c r="E26" s="61">
        <f>+'5c'!E58*1.06/1000000</f>
        <v>88386.332363917041</v>
      </c>
    </row>
    <row r="27" spans="1:7" x14ac:dyDescent="0.2">
      <c r="A27" s="53"/>
      <c r="B27" s="89"/>
      <c r="C27" s="89"/>
      <c r="D27" s="89"/>
      <c r="E27" s="122">
        <f>+E25/E26</f>
        <v>0.19176664023361498</v>
      </c>
    </row>
    <row r="29" spans="1:7" x14ac:dyDescent="0.2">
      <c r="C29" s="21"/>
    </row>
  </sheetData>
  <phoneticPr fontId="3" type="noConversion"/>
  <printOptions horizontalCentered="1"/>
  <pageMargins left="0.78740157480314965" right="0.78740157480314965" top="1.3779527559055118" bottom="0.98425196850393704" header="0.78740157480314965" footer="0"/>
  <pageSetup scale="96" orientation="portrait" r:id="rId1"/>
  <headerFooter alignWithMargins="0">
    <oddHeader>&amp;C&amp;UAnexo Nº 2</oddHeader>
  </headerFooter>
  <ignoredErrors>
    <ignoredError sqref="E11:E13 E14:E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topLeftCell="B1" zoomScaleNormal="100" workbookViewId="0">
      <selection activeCell="C10" sqref="C10"/>
    </sheetView>
  </sheetViews>
  <sheetFormatPr baseColWidth="10" defaultRowHeight="12.75" x14ac:dyDescent="0.2"/>
  <cols>
    <col min="1" max="1" width="28.5703125" style="4" customWidth="1"/>
    <col min="2" max="2" width="2.5703125" style="4" customWidth="1"/>
    <col min="3" max="3" width="30.42578125" style="4" customWidth="1"/>
    <col min="4" max="4" width="2.5703125" style="4" customWidth="1"/>
    <col min="5" max="5" width="26.5703125" style="4" customWidth="1"/>
    <col min="6" max="6" width="2.5703125" style="4" customWidth="1"/>
    <col min="7" max="7" width="39.140625" style="4" customWidth="1"/>
    <col min="8" max="16384" width="11.42578125" style="4"/>
  </cols>
  <sheetData>
    <row r="1" spans="1:11" x14ac:dyDescent="0.2">
      <c r="A1" s="1" t="s">
        <v>62</v>
      </c>
      <c r="B1" s="1"/>
      <c r="C1" s="1"/>
      <c r="D1" s="1"/>
      <c r="E1" s="1"/>
      <c r="F1" s="1"/>
      <c r="G1" s="1"/>
    </row>
    <row r="2" spans="1:11" x14ac:dyDescent="0.2">
      <c r="A2" s="1" t="s">
        <v>63</v>
      </c>
      <c r="B2" s="1"/>
      <c r="C2" s="1"/>
      <c r="D2" s="1"/>
      <c r="E2" s="1"/>
      <c r="F2" s="1"/>
      <c r="G2" s="1"/>
    </row>
    <row r="3" spans="1:11" x14ac:dyDescent="0.2">
      <c r="A3" s="14"/>
      <c r="B3" s="14"/>
      <c r="D3" s="14"/>
      <c r="F3" s="14"/>
    </row>
    <row r="4" spans="1:11" x14ac:dyDescent="0.2">
      <c r="A4" s="6" t="s">
        <v>1194</v>
      </c>
      <c r="B4" s="1"/>
      <c r="C4" s="1"/>
      <c r="D4" s="1"/>
      <c r="E4" s="1"/>
      <c r="F4" s="1"/>
      <c r="G4" s="1"/>
    </row>
    <row r="5" spans="1:11" x14ac:dyDescent="0.2">
      <c r="A5" s="6" t="s">
        <v>1195</v>
      </c>
      <c r="B5" s="1"/>
      <c r="C5" s="1"/>
      <c r="D5" s="1"/>
      <c r="E5" s="1"/>
      <c r="F5" s="1"/>
      <c r="G5" s="1"/>
    </row>
    <row r="8" spans="1:11" x14ac:dyDescent="0.2">
      <c r="A8" s="15" t="s">
        <v>69</v>
      </c>
      <c r="B8" s="16"/>
      <c r="C8" s="15" t="s">
        <v>70</v>
      </c>
      <c r="D8" s="16"/>
      <c r="E8" s="15" t="s">
        <v>71</v>
      </c>
      <c r="F8" s="16"/>
      <c r="G8" s="15" t="s">
        <v>72</v>
      </c>
    </row>
    <row r="10" spans="1:11" ht="228.6" customHeight="1" x14ac:dyDescent="0.2">
      <c r="A10" s="17" t="s">
        <v>78</v>
      </c>
      <c r="C10" s="62" t="s">
        <v>1214</v>
      </c>
      <c r="E10" s="62" t="s">
        <v>1213</v>
      </c>
      <c r="G10" s="62" t="s">
        <v>1215</v>
      </c>
      <c r="K10" s="123"/>
    </row>
    <row r="11" spans="1:11" x14ac:dyDescent="0.2">
      <c r="E11" s="18"/>
      <c r="G11" s="77"/>
      <c r="J11" s="18"/>
    </row>
    <row r="12" spans="1:11" x14ac:dyDescent="0.2">
      <c r="E12" s="77"/>
    </row>
    <row r="13" spans="1:11" x14ac:dyDescent="0.2">
      <c r="B13" s="82"/>
      <c r="C13" s="77"/>
      <c r="E13" s="77"/>
      <c r="F13" s="77"/>
      <c r="G13" s="18"/>
      <c r="K13" s="18"/>
    </row>
    <row r="14" spans="1:11" x14ac:dyDescent="0.2">
      <c r="C14" s="77"/>
      <c r="E14" s="77"/>
    </row>
    <row r="15" spans="1:11" x14ac:dyDescent="0.2">
      <c r="B15" s="26"/>
      <c r="C15" s="77"/>
      <c r="E15" s="77"/>
    </row>
    <row r="16" spans="1:11" x14ac:dyDescent="0.2">
      <c r="C16" s="77"/>
      <c r="E16" s="77"/>
    </row>
    <row r="17" spans="2:7" x14ac:dyDescent="0.2">
      <c r="C17" s="116"/>
      <c r="E17" s="116"/>
      <c r="G17" s="18"/>
    </row>
    <row r="20" spans="2:7" x14ac:dyDescent="0.2">
      <c r="E20" s="77"/>
    </row>
    <row r="21" spans="2:7" x14ac:dyDescent="0.2">
      <c r="B21" s="82"/>
      <c r="C21" s="77"/>
      <c r="E21" s="77"/>
      <c r="G21" s="18"/>
    </row>
    <row r="22" spans="2:7" x14ac:dyDescent="0.2">
      <c r="C22" s="77"/>
      <c r="E22" s="77"/>
      <c r="G22" s="18"/>
    </row>
    <row r="23" spans="2:7" x14ac:dyDescent="0.2">
      <c r="B23" s="26"/>
      <c r="C23" s="77"/>
      <c r="E23" s="77"/>
      <c r="G23" s="18"/>
    </row>
    <row r="24" spans="2:7" x14ac:dyDescent="0.2">
      <c r="C24" s="77"/>
      <c r="E24" s="77"/>
      <c r="G24" s="18"/>
    </row>
    <row r="25" spans="2:7" x14ac:dyDescent="0.2">
      <c r="C25" s="116"/>
      <c r="E25" s="116"/>
    </row>
  </sheetData>
  <phoneticPr fontId="3" type="noConversion"/>
  <printOptions horizontalCentered="1"/>
  <pageMargins left="0.78740157480314965" right="0.78740157480314965" top="1.1811023622047245" bottom="0.98425196850393704" header="0.59055118110236227" footer="0"/>
  <pageSetup scale="92" orientation="landscape" r:id="rId1"/>
  <headerFooter alignWithMargins="0">
    <oddHeader>&amp;C&amp;UAnexo Nº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5"/>
  <sheetViews>
    <sheetView showGridLines="0" zoomScaleNormal="100" workbookViewId="0">
      <selection activeCell="C8" sqref="C8"/>
    </sheetView>
  </sheetViews>
  <sheetFormatPr baseColWidth="10" defaultRowHeight="12.75" outlineLevelRow="2" x14ac:dyDescent="0.2"/>
  <cols>
    <col min="1" max="1" width="15.140625" style="63" customWidth="1"/>
    <col min="2" max="2" width="25.5703125" style="63" customWidth="1"/>
    <col min="3" max="3" width="8.5703125" style="63" customWidth="1"/>
    <col min="4" max="4" width="17.42578125" style="63" customWidth="1"/>
    <col min="5" max="5" width="8.5703125" style="63" customWidth="1"/>
    <col min="6" max="6" width="18.140625" style="63" customWidth="1"/>
    <col min="7" max="7" width="8.5703125" style="63" customWidth="1"/>
    <col min="8" max="8" width="17.5703125" style="63" customWidth="1"/>
    <col min="9" max="9" width="8.5703125" style="63" customWidth="1"/>
    <col min="10" max="10" width="16.42578125" style="63" customWidth="1"/>
    <col min="11" max="11" width="9.5703125" style="63" customWidth="1"/>
    <col min="12" max="12" width="17.5703125" style="63" customWidth="1"/>
    <col min="13" max="13" width="4.140625" style="63" customWidth="1"/>
    <col min="14" max="16384" width="11.42578125" style="63"/>
  </cols>
  <sheetData>
    <row r="1" spans="1:12" ht="15.75" x14ac:dyDescent="0.2">
      <c r="A1" s="94" t="s">
        <v>1201</v>
      </c>
      <c r="B1" s="95"/>
      <c r="C1" s="95"/>
      <c r="D1" s="95"/>
      <c r="E1" s="95"/>
      <c r="F1" s="95"/>
      <c r="G1" s="95"/>
      <c r="H1" s="95"/>
      <c r="I1" s="95"/>
      <c r="J1" s="95"/>
      <c r="K1" s="95"/>
      <c r="L1" s="95"/>
    </row>
    <row r="2" spans="1:12" ht="15.75" x14ac:dyDescent="0.2">
      <c r="A2" s="94" t="s">
        <v>1199</v>
      </c>
      <c r="B2" s="95"/>
      <c r="C2" s="95"/>
      <c r="D2" s="95"/>
      <c r="E2" s="95"/>
      <c r="F2" s="95"/>
      <c r="G2" s="95"/>
      <c r="H2" s="95"/>
      <c r="I2" s="95"/>
      <c r="J2" s="95"/>
      <c r="K2" s="95"/>
      <c r="L2" s="95"/>
    </row>
    <row r="3" spans="1:12" ht="15.75" x14ac:dyDescent="0.2">
      <c r="A3" s="94"/>
      <c r="B3" s="95"/>
    </row>
    <row r="4" spans="1:12" ht="15.75" x14ac:dyDescent="0.2">
      <c r="A4" s="245" t="s">
        <v>89</v>
      </c>
      <c r="B4" s="245" t="s">
        <v>90</v>
      </c>
      <c r="C4" s="96" t="s">
        <v>91</v>
      </c>
      <c r="D4" s="97"/>
      <c r="E4" s="97"/>
      <c r="F4" s="97"/>
      <c r="G4" s="97"/>
      <c r="H4" s="97"/>
      <c r="I4" s="97"/>
      <c r="J4" s="97"/>
      <c r="K4" s="97"/>
      <c r="L4" s="97"/>
    </row>
    <row r="5" spans="1:12" x14ac:dyDescent="0.2">
      <c r="A5" s="245"/>
      <c r="B5" s="245"/>
      <c r="C5" s="244" t="s">
        <v>92</v>
      </c>
      <c r="D5" s="244"/>
      <c r="E5" s="244" t="s">
        <v>93</v>
      </c>
      <c r="F5" s="244"/>
      <c r="G5" s="244" t="s">
        <v>94</v>
      </c>
      <c r="H5" s="244"/>
      <c r="I5" s="244" t="s">
        <v>95</v>
      </c>
      <c r="J5" s="244"/>
      <c r="K5" s="244" t="s">
        <v>96</v>
      </c>
      <c r="L5" s="244"/>
    </row>
    <row r="6" spans="1:12" x14ac:dyDescent="0.2">
      <c r="A6" s="245"/>
      <c r="B6" s="245"/>
      <c r="C6" s="244"/>
      <c r="D6" s="244"/>
      <c r="E6" s="244"/>
      <c r="F6" s="244"/>
      <c r="G6" s="244"/>
      <c r="H6" s="244"/>
      <c r="I6" s="244"/>
      <c r="J6" s="244"/>
      <c r="K6" s="244"/>
      <c r="L6" s="244"/>
    </row>
    <row r="7" spans="1:12" x14ac:dyDescent="0.2">
      <c r="A7" s="245"/>
      <c r="B7" s="245"/>
      <c r="C7" s="50" t="s">
        <v>97</v>
      </c>
      <c r="D7" s="50" t="s">
        <v>98</v>
      </c>
      <c r="E7" s="50" t="s">
        <v>97</v>
      </c>
      <c r="F7" s="50" t="s">
        <v>98</v>
      </c>
      <c r="G7" s="50" t="s">
        <v>97</v>
      </c>
      <c r="H7" s="50" t="s">
        <v>98</v>
      </c>
      <c r="I7" s="50" t="s">
        <v>97</v>
      </c>
      <c r="J7" s="50" t="s">
        <v>98</v>
      </c>
      <c r="K7" s="50" t="s">
        <v>97</v>
      </c>
      <c r="L7" s="50" t="s">
        <v>98</v>
      </c>
    </row>
    <row r="8" spans="1:12" x14ac:dyDescent="0.2">
      <c r="A8" s="252" t="s">
        <v>21</v>
      </c>
      <c r="B8" s="51" t="s">
        <v>21</v>
      </c>
      <c r="C8" s="98">
        <v>3</v>
      </c>
      <c r="D8" s="99">
        <v>28865000</v>
      </c>
      <c r="E8" s="98">
        <v>0</v>
      </c>
      <c r="F8" s="99">
        <v>0</v>
      </c>
      <c r="G8" s="98">
        <v>39</v>
      </c>
      <c r="H8" s="99">
        <v>855624723.22000003</v>
      </c>
      <c r="I8" s="98">
        <v>11</v>
      </c>
      <c r="J8" s="99">
        <v>71724000</v>
      </c>
      <c r="K8" s="98">
        <f>C8+E8+G8+I8</f>
        <v>53</v>
      </c>
      <c r="L8" s="99">
        <f>D8+F8+H8+J8</f>
        <v>956213723.22000003</v>
      </c>
    </row>
    <row r="9" spans="1:12" x14ac:dyDescent="0.2">
      <c r="A9" s="253"/>
      <c r="B9" s="51" t="s">
        <v>265</v>
      </c>
      <c r="C9" s="98">
        <v>0</v>
      </c>
      <c r="D9" s="99">
        <v>0</v>
      </c>
      <c r="E9" s="98">
        <v>0</v>
      </c>
      <c r="F9" s="99">
        <v>0</v>
      </c>
      <c r="G9" s="98">
        <v>0</v>
      </c>
      <c r="H9" s="99">
        <v>0</v>
      </c>
      <c r="I9" s="98">
        <v>0</v>
      </c>
      <c r="J9" s="99">
        <v>0</v>
      </c>
      <c r="K9" s="98">
        <f t="shared" ref="K9:K27" si="0">C9+E9+G9+I9</f>
        <v>0</v>
      </c>
      <c r="L9" s="99">
        <f t="shared" ref="L9:L27" si="1">D9+F9+H9+J9</f>
        <v>0</v>
      </c>
    </row>
    <row r="10" spans="1:12" x14ac:dyDescent="0.2">
      <c r="A10" s="253"/>
      <c r="B10" s="51" t="s">
        <v>99</v>
      </c>
      <c r="C10" s="98">
        <v>13</v>
      </c>
      <c r="D10" s="99">
        <v>96498000</v>
      </c>
      <c r="E10" s="98">
        <v>3</v>
      </c>
      <c r="F10" s="99">
        <v>25876341.620000001</v>
      </c>
      <c r="G10" s="98">
        <v>29</v>
      </c>
      <c r="H10" s="99">
        <v>198934393.94999999</v>
      </c>
      <c r="I10" s="98">
        <v>13</v>
      </c>
      <c r="J10" s="99">
        <v>90704000</v>
      </c>
      <c r="K10" s="98">
        <f t="shared" si="0"/>
        <v>58</v>
      </c>
      <c r="L10" s="99">
        <f t="shared" si="1"/>
        <v>412012735.56999999</v>
      </c>
    </row>
    <row r="11" spans="1:12" x14ac:dyDescent="0.2">
      <c r="A11" s="253"/>
      <c r="B11" s="51" t="s">
        <v>101</v>
      </c>
      <c r="C11" s="98">
        <v>13</v>
      </c>
      <c r="D11" s="99">
        <v>93600000</v>
      </c>
      <c r="E11" s="98">
        <v>5</v>
      </c>
      <c r="F11" s="99">
        <v>38694989.590000004</v>
      </c>
      <c r="G11" s="98">
        <v>4</v>
      </c>
      <c r="H11" s="99">
        <v>34533865</v>
      </c>
      <c r="I11" s="98">
        <v>5</v>
      </c>
      <c r="J11" s="99">
        <v>33656000</v>
      </c>
      <c r="K11" s="98">
        <f t="shared" si="0"/>
        <v>27</v>
      </c>
      <c r="L11" s="99">
        <f t="shared" si="1"/>
        <v>200484854.59</v>
      </c>
    </row>
    <row r="12" spans="1:12" x14ac:dyDescent="0.2">
      <c r="A12" s="253"/>
      <c r="B12" s="51" t="s">
        <v>266</v>
      </c>
      <c r="C12" s="98">
        <v>15</v>
      </c>
      <c r="D12" s="99">
        <v>109242000</v>
      </c>
      <c r="E12" s="98">
        <v>3</v>
      </c>
      <c r="F12" s="99">
        <v>18216000</v>
      </c>
      <c r="G12" s="98">
        <v>0</v>
      </c>
      <c r="H12" s="99">
        <v>0</v>
      </c>
      <c r="I12" s="98">
        <v>0</v>
      </c>
      <c r="J12" s="99">
        <v>0</v>
      </c>
      <c r="K12" s="98">
        <f t="shared" si="0"/>
        <v>18</v>
      </c>
      <c r="L12" s="99">
        <f t="shared" si="1"/>
        <v>127458000</v>
      </c>
    </row>
    <row r="13" spans="1:12" x14ac:dyDescent="0.2">
      <c r="A13" s="253"/>
      <c r="B13" s="51" t="s">
        <v>267</v>
      </c>
      <c r="C13" s="98">
        <v>9</v>
      </c>
      <c r="D13" s="99">
        <v>60157000</v>
      </c>
      <c r="E13" s="98">
        <v>2</v>
      </c>
      <c r="F13" s="99">
        <v>13540000</v>
      </c>
      <c r="G13" s="98">
        <v>5</v>
      </c>
      <c r="H13" s="99">
        <v>42122605.159999996</v>
      </c>
      <c r="I13" s="98">
        <v>4</v>
      </c>
      <c r="J13" s="99">
        <v>28810000</v>
      </c>
      <c r="K13" s="98">
        <f t="shared" si="0"/>
        <v>20</v>
      </c>
      <c r="L13" s="99">
        <f t="shared" si="1"/>
        <v>144629605.16</v>
      </c>
    </row>
    <row r="14" spans="1:12" x14ac:dyDescent="0.2">
      <c r="A14" s="253"/>
      <c r="B14" s="51" t="s">
        <v>102</v>
      </c>
      <c r="C14" s="98">
        <v>5</v>
      </c>
      <c r="D14" s="99">
        <v>33710000</v>
      </c>
      <c r="E14" s="98">
        <v>2</v>
      </c>
      <c r="F14" s="99">
        <v>14475000</v>
      </c>
      <c r="G14" s="98">
        <v>1</v>
      </c>
      <c r="H14" s="99">
        <v>7055000</v>
      </c>
      <c r="I14" s="98">
        <v>4</v>
      </c>
      <c r="J14" s="99">
        <v>23780000</v>
      </c>
      <c r="K14" s="98">
        <f t="shared" si="0"/>
        <v>12</v>
      </c>
      <c r="L14" s="99">
        <f t="shared" si="1"/>
        <v>79020000</v>
      </c>
    </row>
    <row r="15" spans="1:12" x14ac:dyDescent="0.2">
      <c r="A15" s="253"/>
      <c r="B15" s="51" t="s">
        <v>103</v>
      </c>
      <c r="C15" s="98">
        <v>0</v>
      </c>
      <c r="D15" s="99">
        <v>0</v>
      </c>
      <c r="E15" s="98">
        <v>3</v>
      </c>
      <c r="F15" s="99">
        <v>25900363.510000002</v>
      </c>
      <c r="G15" s="98">
        <v>27</v>
      </c>
      <c r="H15" s="99">
        <v>168873643.61000001</v>
      </c>
      <c r="I15" s="98">
        <v>10</v>
      </c>
      <c r="J15" s="99">
        <v>72736000</v>
      </c>
      <c r="K15" s="98">
        <f t="shared" si="0"/>
        <v>40</v>
      </c>
      <c r="L15" s="99">
        <f t="shared" si="1"/>
        <v>267510007.12</v>
      </c>
    </row>
    <row r="16" spans="1:12" x14ac:dyDescent="0.2">
      <c r="A16" s="253"/>
      <c r="B16" s="51" t="s">
        <v>268</v>
      </c>
      <c r="C16" s="98">
        <v>0</v>
      </c>
      <c r="D16" s="99">
        <v>0</v>
      </c>
      <c r="E16" s="98">
        <v>1</v>
      </c>
      <c r="F16" s="99">
        <v>5424000</v>
      </c>
      <c r="G16" s="98">
        <v>1</v>
      </c>
      <c r="H16" s="99">
        <v>6231000</v>
      </c>
      <c r="I16" s="98">
        <v>0</v>
      </c>
      <c r="J16" s="99">
        <v>0</v>
      </c>
      <c r="K16" s="98">
        <f t="shared" si="0"/>
        <v>2</v>
      </c>
      <c r="L16" s="99">
        <f t="shared" si="1"/>
        <v>11655000</v>
      </c>
    </row>
    <row r="17" spans="1:12" x14ac:dyDescent="0.2">
      <c r="A17" s="253"/>
      <c r="B17" s="51" t="s">
        <v>104</v>
      </c>
      <c r="C17" s="98">
        <v>1</v>
      </c>
      <c r="D17" s="99">
        <v>7100000</v>
      </c>
      <c r="E17" s="98">
        <v>0</v>
      </c>
      <c r="F17" s="99">
        <v>0</v>
      </c>
      <c r="G17" s="98">
        <v>8</v>
      </c>
      <c r="H17" s="99">
        <v>46802000</v>
      </c>
      <c r="I17" s="98">
        <v>3</v>
      </c>
      <c r="J17" s="99">
        <v>19332000</v>
      </c>
      <c r="K17" s="98">
        <f t="shared" si="0"/>
        <v>12</v>
      </c>
      <c r="L17" s="99">
        <f t="shared" si="1"/>
        <v>73234000</v>
      </c>
    </row>
    <row r="18" spans="1:12" x14ac:dyDescent="0.2">
      <c r="A18" s="253"/>
      <c r="B18" s="52" t="s">
        <v>269</v>
      </c>
      <c r="C18" s="98">
        <v>0</v>
      </c>
      <c r="D18" s="99">
        <v>0</v>
      </c>
      <c r="E18" s="98">
        <v>0</v>
      </c>
      <c r="F18" s="99">
        <v>0</v>
      </c>
      <c r="G18" s="98">
        <v>3</v>
      </c>
      <c r="H18" s="99">
        <v>16257000</v>
      </c>
      <c r="I18" s="98">
        <v>2</v>
      </c>
      <c r="J18" s="99">
        <v>14029000</v>
      </c>
      <c r="K18" s="98">
        <f t="shared" si="0"/>
        <v>5</v>
      </c>
      <c r="L18" s="99">
        <f t="shared" si="1"/>
        <v>30286000</v>
      </c>
    </row>
    <row r="19" spans="1:12" x14ac:dyDescent="0.2">
      <c r="A19" s="253"/>
      <c r="B19" s="51" t="s">
        <v>105</v>
      </c>
      <c r="C19" s="98">
        <v>13</v>
      </c>
      <c r="D19" s="99">
        <v>103508000</v>
      </c>
      <c r="E19" s="98">
        <v>3</v>
      </c>
      <c r="F19" s="99">
        <v>40941177.829999998</v>
      </c>
      <c r="G19" s="98">
        <v>0</v>
      </c>
      <c r="H19" s="99">
        <v>0</v>
      </c>
      <c r="I19" s="98">
        <v>5</v>
      </c>
      <c r="J19" s="99">
        <v>36113000</v>
      </c>
      <c r="K19" s="98">
        <f t="shared" si="0"/>
        <v>21</v>
      </c>
      <c r="L19" s="99">
        <f t="shared" si="1"/>
        <v>180562177.82999998</v>
      </c>
    </row>
    <row r="20" spans="1:12" x14ac:dyDescent="0.2">
      <c r="A20" s="253"/>
      <c r="B20" s="51" t="s">
        <v>270</v>
      </c>
      <c r="C20" s="98">
        <v>0</v>
      </c>
      <c r="D20" s="99">
        <v>0</v>
      </c>
      <c r="E20" s="98">
        <v>1</v>
      </c>
      <c r="F20" s="99">
        <v>4629000</v>
      </c>
      <c r="G20" s="98">
        <v>3</v>
      </c>
      <c r="H20" s="99">
        <v>75000236.700000003</v>
      </c>
      <c r="I20" s="98">
        <v>2</v>
      </c>
      <c r="J20" s="99">
        <v>13703000</v>
      </c>
      <c r="K20" s="98">
        <f t="shared" si="0"/>
        <v>6</v>
      </c>
      <c r="L20" s="99">
        <f t="shared" si="1"/>
        <v>93332236.700000003</v>
      </c>
    </row>
    <row r="21" spans="1:12" x14ac:dyDescent="0.2">
      <c r="A21" s="253"/>
      <c r="B21" s="51" t="s">
        <v>168</v>
      </c>
      <c r="C21" s="98">
        <v>1</v>
      </c>
      <c r="D21" s="99">
        <v>7100000</v>
      </c>
      <c r="E21" s="98">
        <v>2</v>
      </c>
      <c r="F21" s="99">
        <v>23650006.420000002</v>
      </c>
      <c r="G21" s="98">
        <v>6</v>
      </c>
      <c r="H21" s="99">
        <v>34938000</v>
      </c>
      <c r="I21" s="98">
        <v>0</v>
      </c>
      <c r="J21" s="99">
        <v>0</v>
      </c>
      <c r="K21" s="98">
        <f t="shared" si="0"/>
        <v>9</v>
      </c>
      <c r="L21" s="99">
        <f t="shared" si="1"/>
        <v>65688006.420000002</v>
      </c>
    </row>
    <row r="22" spans="1:12" x14ac:dyDescent="0.2">
      <c r="A22" s="253"/>
      <c r="B22" s="51" t="s">
        <v>313</v>
      </c>
      <c r="C22" s="98">
        <v>0</v>
      </c>
      <c r="D22" s="99">
        <v>0</v>
      </c>
      <c r="E22" s="98">
        <v>0</v>
      </c>
      <c r="F22" s="99">
        <v>0</v>
      </c>
      <c r="G22" s="98">
        <v>3</v>
      </c>
      <c r="H22" s="99">
        <v>16545000</v>
      </c>
      <c r="I22" s="98">
        <v>1</v>
      </c>
      <c r="J22" s="99">
        <v>6110000</v>
      </c>
      <c r="K22" s="98">
        <f t="shared" si="0"/>
        <v>4</v>
      </c>
      <c r="L22" s="99">
        <f t="shared" si="1"/>
        <v>22655000</v>
      </c>
    </row>
    <row r="23" spans="1:12" x14ac:dyDescent="0.2">
      <c r="A23" s="253"/>
      <c r="B23" s="51" t="s">
        <v>169</v>
      </c>
      <c r="C23" s="98">
        <v>17</v>
      </c>
      <c r="D23" s="99">
        <v>135883000</v>
      </c>
      <c r="E23" s="98">
        <v>0</v>
      </c>
      <c r="F23" s="99">
        <v>0</v>
      </c>
      <c r="G23" s="98">
        <v>0</v>
      </c>
      <c r="H23" s="99">
        <v>0</v>
      </c>
      <c r="I23" s="98">
        <v>0</v>
      </c>
      <c r="J23" s="99">
        <v>0</v>
      </c>
      <c r="K23" s="98">
        <f t="shared" si="0"/>
        <v>17</v>
      </c>
      <c r="L23" s="99">
        <f t="shared" si="1"/>
        <v>135883000</v>
      </c>
    </row>
    <row r="24" spans="1:12" x14ac:dyDescent="0.2">
      <c r="A24" s="253"/>
      <c r="B24" s="51" t="s">
        <v>171</v>
      </c>
      <c r="C24" s="98">
        <v>5</v>
      </c>
      <c r="D24" s="99">
        <v>37512000</v>
      </c>
      <c r="E24" s="98">
        <v>3</v>
      </c>
      <c r="F24" s="99">
        <v>26138992.43</v>
      </c>
      <c r="G24" s="98">
        <v>0</v>
      </c>
      <c r="H24" s="99">
        <v>0</v>
      </c>
      <c r="I24" s="98">
        <v>2</v>
      </c>
      <c r="J24" s="99">
        <v>14360000</v>
      </c>
      <c r="K24" s="98">
        <f t="shared" si="0"/>
        <v>10</v>
      </c>
      <c r="L24" s="99">
        <f t="shared" si="1"/>
        <v>78010992.430000007</v>
      </c>
    </row>
    <row r="25" spans="1:12" x14ac:dyDescent="0.2">
      <c r="A25" s="253"/>
      <c r="B25" s="51" t="s">
        <v>172</v>
      </c>
      <c r="C25" s="98">
        <v>0</v>
      </c>
      <c r="D25" s="99">
        <v>0</v>
      </c>
      <c r="E25" s="98">
        <v>0</v>
      </c>
      <c r="F25" s="99">
        <v>0</v>
      </c>
      <c r="G25" s="98">
        <v>13</v>
      </c>
      <c r="H25" s="99">
        <v>71478000</v>
      </c>
      <c r="I25" s="98">
        <v>2</v>
      </c>
      <c r="J25" s="99">
        <v>14000000</v>
      </c>
      <c r="K25" s="98">
        <f t="shared" si="0"/>
        <v>15</v>
      </c>
      <c r="L25" s="99">
        <f t="shared" si="1"/>
        <v>85478000</v>
      </c>
    </row>
    <row r="26" spans="1:12" x14ac:dyDescent="0.2">
      <c r="A26" s="253"/>
      <c r="B26" s="51" t="s">
        <v>271</v>
      </c>
      <c r="C26" s="98">
        <v>230</v>
      </c>
      <c r="D26" s="99">
        <v>1753760000</v>
      </c>
      <c r="E26" s="98">
        <v>98</v>
      </c>
      <c r="F26" s="99">
        <v>1240226695.95</v>
      </c>
      <c r="G26" s="98">
        <v>2</v>
      </c>
      <c r="H26" s="99">
        <v>10827000</v>
      </c>
      <c r="I26" s="98">
        <v>8</v>
      </c>
      <c r="J26" s="99">
        <v>56498000</v>
      </c>
      <c r="K26" s="98">
        <f t="shared" si="0"/>
        <v>338</v>
      </c>
      <c r="L26" s="99">
        <f t="shared" si="1"/>
        <v>3061311695.9499998</v>
      </c>
    </row>
    <row r="27" spans="1:12" x14ac:dyDescent="0.2">
      <c r="A27" s="253"/>
      <c r="B27" s="51" t="s">
        <v>272</v>
      </c>
      <c r="C27" s="98">
        <v>6</v>
      </c>
      <c r="D27" s="99">
        <v>42905000</v>
      </c>
      <c r="E27" s="98">
        <v>2</v>
      </c>
      <c r="F27" s="99">
        <v>37123604.450000003</v>
      </c>
      <c r="G27" s="98">
        <v>0</v>
      </c>
      <c r="H27" s="99">
        <v>0</v>
      </c>
      <c r="I27" s="98">
        <v>1</v>
      </c>
      <c r="J27" s="99">
        <v>7410000</v>
      </c>
      <c r="K27" s="98">
        <f t="shared" si="0"/>
        <v>9</v>
      </c>
      <c r="L27" s="99">
        <f t="shared" si="1"/>
        <v>87438604.450000003</v>
      </c>
    </row>
    <row r="28" spans="1:12" x14ac:dyDescent="0.2">
      <c r="A28" s="57"/>
      <c r="B28" s="57" t="s">
        <v>48</v>
      </c>
      <c r="C28" s="100">
        <f t="shared" ref="C28:L28" si="2">SUM(C8:C27)</f>
        <v>331</v>
      </c>
      <c r="D28" s="101">
        <f t="shared" si="2"/>
        <v>2509840000</v>
      </c>
      <c r="E28" s="100">
        <f t="shared" si="2"/>
        <v>128</v>
      </c>
      <c r="F28" s="101">
        <f t="shared" si="2"/>
        <v>1514836171.8000002</v>
      </c>
      <c r="G28" s="100">
        <f t="shared" si="2"/>
        <v>144</v>
      </c>
      <c r="H28" s="101">
        <f t="shared" si="2"/>
        <v>1585222467.6400001</v>
      </c>
      <c r="I28" s="100">
        <f t="shared" si="2"/>
        <v>73</v>
      </c>
      <c r="J28" s="101">
        <f t="shared" si="2"/>
        <v>502965000</v>
      </c>
      <c r="K28" s="100">
        <f t="shared" si="2"/>
        <v>676</v>
      </c>
      <c r="L28" s="101">
        <f t="shared" si="2"/>
        <v>6112863639.4399996</v>
      </c>
    </row>
    <row r="29" spans="1:12" x14ac:dyDescent="0.2">
      <c r="A29" s="246" t="s">
        <v>2</v>
      </c>
      <c r="B29" s="51" t="s">
        <v>83</v>
      </c>
      <c r="C29" s="98">
        <v>11</v>
      </c>
      <c r="D29" s="99">
        <v>75411000</v>
      </c>
      <c r="E29" s="98">
        <v>136</v>
      </c>
      <c r="F29" s="99">
        <v>3613786086.6999998</v>
      </c>
      <c r="G29" s="98">
        <v>35</v>
      </c>
      <c r="H29" s="99">
        <v>202005000</v>
      </c>
      <c r="I29" s="98">
        <v>3</v>
      </c>
      <c r="J29" s="99">
        <v>18867000</v>
      </c>
      <c r="K29" s="98">
        <f t="shared" ref="K29:K44" si="3">C29+E29+G29+I29</f>
        <v>185</v>
      </c>
      <c r="L29" s="99">
        <f t="shared" ref="L29:L44" si="4">D29+F29+H29+J29</f>
        <v>3910069086.6999998</v>
      </c>
    </row>
    <row r="30" spans="1:12" x14ac:dyDescent="0.2">
      <c r="A30" s="247"/>
      <c r="B30" s="51" t="s">
        <v>273</v>
      </c>
      <c r="C30" s="98">
        <v>52</v>
      </c>
      <c r="D30" s="99">
        <v>371877000</v>
      </c>
      <c r="E30" s="98">
        <v>24</v>
      </c>
      <c r="F30" s="99">
        <v>286095858.76999998</v>
      </c>
      <c r="G30" s="98">
        <v>6</v>
      </c>
      <c r="H30" s="99">
        <v>48748799.270000003</v>
      </c>
      <c r="I30" s="98">
        <v>4</v>
      </c>
      <c r="J30" s="99">
        <v>27435000</v>
      </c>
      <c r="K30" s="98">
        <f t="shared" si="3"/>
        <v>86</v>
      </c>
      <c r="L30" s="99">
        <f t="shared" si="4"/>
        <v>734156658.03999996</v>
      </c>
    </row>
    <row r="31" spans="1:12" x14ac:dyDescent="0.2">
      <c r="A31" s="247"/>
      <c r="B31" s="51" t="s">
        <v>106</v>
      </c>
      <c r="C31" s="98">
        <v>35</v>
      </c>
      <c r="D31" s="99">
        <v>247396000</v>
      </c>
      <c r="E31" s="98">
        <v>34</v>
      </c>
      <c r="F31" s="99">
        <v>307807204.25999999</v>
      </c>
      <c r="G31" s="98">
        <v>10</v>
      </c>
      <c r="H31" s="99">
        <v>85082090</v>
      </c>
      <c r="I31" s="98">
        <v>12</v>
      </c>
      <c r="J31" s="99">
        <v>82636000</v>
      </c>
      <c r="K31" s="98">
        <f t="shared" si="3"/>
        <v>91</v>
      </c>
      <c r="L31" s="99">
        <f t="shared" si="4"/>
        <v>722921294.25999999</v>
      </c>
    </row>
    <row r="32" spans="1:12" x14ac:dyDescent="0.2">
      <c r="A32" s="247"/>
      <c r="B32" s="51" t="s">
        <v>107</v>
      </c>
      <c r="C32" s="98">
        <v>15</v>
      </c>
      <c r="D32" s="99">
        <v>117487000</v>
      </c>
      <c r="E32" s="98">
        <v>2</v>
      </c>
      <c r="F32" s="99">
        <v>25132784.969999999</v>
      </c>
      <c r="G32" s="98">
        <v>0</v>
      </c>
      <c r="H32" s="99">
        <v>0</v>
      </c>
      <c r="I32" s="98">
        <v>0</v>
      </c>
      <c r="J32" s="99">
        <v>0</v>
      </c>
      <c r="K32" s="98">
        <f t="shared" si="3"/>
        <v>17</v>
      </c>
      <c r="L32" s="99">
        <f t="shared" si="4"/>
        <v>142619784.97</v>
      </c>
    </row>
    <row r="33" spans="1:12" x14ac:dyDescent="0.2">
      <c r="A33" s="247"/>
      <c r="B33" s="51" t="s">
        <v>108</v>
      </c>
      <c r="C33" s="98">
        <v>11</v>
      </c>
      <c r="D33" s="99">
        <v>83056000</v>
      </c>
      <c r="E33" s="98">
        <v>11</v>
      </c>
      <c r="F33" s="99">
        <v>145538576.56999999</v>
      </c>
      <c r="G33" s="98">
        <v>3</v>
      </c>
      <c r="H33" s="99">
        <v>17955000</v>
      </c>
      <c r="I33" s="98">
        <v>0</v>
      </c>
      <c r="J33" s="99">
        <v>0</v>
      </c>
      <c r="K33" s="98">
        <f t="shared" si="3"/>
        <v>25</v>
      </c>
      <c r="L33" s="99">
        <f t="shared" si="4"/>
        <v>246549576.56999999</v>
      </c>
    </row>
    <row r="34" spans="1:12" x14ac:dyDescent="0.2">
      <c r="A34" s="247"/>
      <c r="B34" s="51" t="s">
        <v>109</v>
      </c>
      <c r="C34" s="98">
        <v>16</v>
      </c>
      <c r="D34" s="99">
        <v>112247000</v>
      </c>
      <c r="E34" s="98">
        <v>10</v>
      </c>
      <c r="F34" s="99">
        <v>89892270.010000005</v>
      </c>
      <c r="G34" s="98">
        <v>2</v>
      </c>
      <c r="H34" s="99">
        <v>25874732.870000001</v>
      </c>
      <c r="I34" s="98">
        <v>0</v>
      </c>
      <c r="J34" s="99">
        <v>0</v>
      </c>
      <c r="K34" s="98">
        <f t="shared" si="3"/>
        <v>28</v>
      </c>
      <c r="L34" s="99">
        <f t="shared" si="4"/>
        <v>228014002.88</v>
      </c>
    </row>
    <row r="35" spans="1:12" x14ac:dyDescent="0.2">
      <c r="A35" s="247"/>
      <c r="B35" s="51" t="s">
        <v>110</v>
      </c>
      <c r="C35" s="98">
        <v>5</v>
      </c>
      <c r="D35" s="99">
        <v>33861000</v>
      </c>
      <c r="E35" s="98">
        <v>4</v>
      </c>
      <c r="F35" s="99">
        <v>34958000</v>
      </c>
      <c r="G35" s="98">
        <v>2</v>
      </c>
      <c r="H35" s="99">
        <v>12012000</v>
      </c>
      <c r="I35" s="98">
        <v>2</v>
      </c>
      <c r="J35" s="99">
        <v>12498000</v>
      </c>
      <c r="K35" s="98">
        <f t="shared" si="3"/>
        <v>13</v>
      </c>
      <c r="L35" s="99">
        <f t="shared" si="4"/>
        <v>93329000</v>
      </c>
    </row>
    <row r="36" spans="1:12" x14ac:dyDescent="0.2">
      <c r="A36" s="247"/>
      <c r="B36" s="51" t="s">
        <v>260</v>
      </c>
      <c r="C36" s="98">
        <v>5</v>
      </c>
      <c r="D36" s="99">
        <v>35665000</v>
      </c>
      <c r="E36" s="98">
        <v>4</v>
      </c>
      <c r="F36" s="99">
        <v>64238140.450000003</v>
      </c>
      <c r="G36" s="98">
        <v>4</v>
      </c>
      <c r="H36" s="99">
        <v>22477000</v>
      </c>
      <c r="I36" s="98">
        <v>3</v>
      </c>
      <c r="J36" s="99">
        <v>20976000</v>
      </c>
      <c r="K36" s="98">
        <f t="shared" si="3"/>
        <v>16</v>
      </c>
      <c r="L36" s="99">
        <f t="shared" si="4"/>
        <v>143356140.44999999</v>
      </c>
    </row>
    <row r="37" spans="1:12" x14ac:dyDescent="0.2">
      <c r="A37" s="247"/>
      <c r="B37" s="51" t="s">
        <v>112</v>
      </c>
      <c r="C37" s="98">
        <v>56</v>
      </c>
      <c r="D37" s="99">
        <v>421489000</v>
      </c>
      <c r="E37" s="98">
        <v>91</v>
      </c>
      <c r="F37" s="99">
        <v>2383329983.98</v>
      </c>
      <c r="G37" s="98">
        <v>1</v>
      </c>
      <c r="H37" s="99">
        <v>23820761.989999998</v>
      </c>
      <c r="I37" s="98">
        <v>3</v>
      </c>
      <c r="J37" s="99">
        <v>21920000</v>
      </c>
      <c r="K37" s="98">
        <f t="shared" si="3"/>
        <v>151</v>
      </c>
      <c r="L37" s="99">
        <f t="shared" si="4"/>
        <v>2850559745.9699998</v>
      </c>
    </row>
    <row r="38" spans="1:12" x14ac:dyDescent="0.2">
      <c r="A38" s="247"/>
      <c r="B38" s="51" t="s">
        <v>113</v>
      </c>
      <c r="C38" s="98">
        <v>201</v>
      </c>
      <c r="D38" s="99">
        <v>1506454000</v>
      </c>
      <c r="E38" s="98">
        <v>73</v>
      </c>
      <c r="F38" s="99">
        <v>685545004.77999997</v>
      </c>
      <c r="G38" s="98">
        <v>8</v>
      </c>
      <c r="H38" s="99">
        <v>111712253.63</v>
      </c>
      <c r="I38" s="98">
        <v>7</v>
      </c>
      <c r="J38" s="99">
        <v>43924000</v>
      </c>
      <c r="K38" s="98">
        <f t="shared" si="3"/>
        <v>289</v>
      </c>
      <c r="L38" s="99">
        <f t="shared" si="4"/>
        <v>2347635258.4099998</v>
      </c>
    </row>
    <row r="39" spans="1:12" x14ac:dyDescent="0.2">
      <c r="A39" s="247"/>
      <c r="B39" s="51" t="s">
        <v>396</v>
      </c>
      <c r="C39" s="98">
        <v>3</v>
      </c>
      <c r="D39" s="99">
        <v>19830000</v>
      </c>
      <c r="E39" s="98">
        <v>0</v>
      </c>
      <c r="F39" s="99">
        <v>0</v>
      </c>
      <c r="G39" s="98">
        <v>0</v>
      </c>
      <c r="H39" s="99">
        <v>0</v>
      </c>
      <c r="I39" s="98">
        <v>0</v>
      </c>
      <c r="J39" s="99">
        <v>0</v>
      </c>
      <c r="K39" s="98">
        <f t="shared" si="3"/>
        <v>3</v>
      </c>
      <c r="L39" s="99">
        <f t="shared" si="4"/>
        <v>19830000</v>
      </c>
    </row>
    <row r="40" spans="1:12" x14ac:dyDescent="0.2">
      <c r="A40" s="247"/>
      <c r="B40" s="51" t="s">
        <v>114</v>
      </c>
      <c r="C40" s="98">
        <v>11</v>
      </c>
      <c r="D40" s="99">
        <v>73547000</v>
      </c>
      <c r="E40" s="98">
        <v>3</v>
      </c>
      <c r="F40" s="99">
        <v>34789320.450000003</v>
      </c>
      <c r="G40" s="98">
        <v>1</v>
      </c>
      <c r="H40" s="99">
        <v>6487000</v>
      </c>
      <c r="I40" s="98">
        <v>2</v>
      </c>
      <c r="J40" s="99">
        <v>14200000</v>
      </c>
      <c r="K40" s="98">
        <f t="shared" si="3"/>
        <v>17</v>
      </c>
      <c r="L40" s="99">
        <f t="shared" si="4"/>
        <v>129023320.45</v>
      </c>
    </row>
    <row r="41" spans="1:12" x14ac:dyDescent="0.2">
      <c r="A41" s="247"/>
      <c r="B41" s="51" t="s">
        <v>115</v>
      </c>
      <c r="C41" s="98">
        <v>142</v>
      </c>
      <c r="D41" s="99">
        <v>1052152000</v>
      </c>
      <c r="E41" s="98">
        <v>20</v>
      </c>
      <c r="F41" s="99">
        <v>290153733.27999997</v>
      </c>
      <c r="G41" s="98">
        <v>27</v>
      </c>
      <c r="H41" s="99">
        <v>488992036.24000001</v>
      </c>
      <c r="I41" s="98">
        <v>7</v>
      </c>
      <c r="J41" s="99">
        <v>48109000</v>
      </c>
      <c r="K41" s="98">
        <f t="shared" si="3"/>
        <v>196</v>
      </c>
      <c r="L41" s="99">
        <f t="shared" si="4"/>
        <v>1879406769.52</v>
      </c>
    </row>
    <row r="42" spans="1:12" x14ac:dyDescent="0.2">
      <c r="A42" s="247"/>
      <c r="B42" s="51" t="s">
        <v>116</v>
      </c>
      <c r="C42" s="98">
        <v>48</v>
      </c>
      <c r="D42" s="99">
        <v>362226000</v>
      </c>
      <c r="E42" s="98">
        <v>2</v>
      </c>
      <c r="F42" s="99">
        <v>29270211.609999999</v>
      </c>
      <c r="G42" s="98">
        <v>0</v>
      </c>
      <c r="H42" s="99">
        <v>0</v>
      </c>
      <c r="I42" s="98">
        <v>1</v>
      </c>
      <c r="J42" s="99">
        <v>7100000</v>
      </c>
      <c r="K42" s="98">
        <f t="shared" si="3"/>
        <v>51</v>
      </c>
      <c r="L42" s="99">
        <f t="shared" si="4"/>
        <v>398596211.61000001</v>
      </c>
    </row>
    <row r="43" spans="1:12" x14ac:dyDescent="0.2">
      <c r="A43" s="247"/>
      <c r="B43" s="51" t="s">
        <v>117</v>
      </c>
      <c r="C43" s="98">
        <v>36</v>
      </c>
      <c r="D43" s="99">
        <v>269236000</v>
      </c>
      <c r="E43" s="98">
        <v>4</v>
      </c>
      <c r="F43" s="99">
        <v>49590892.960000001</v>
      </c>
      <c r="G43" s="98">
        <v>25</v>
      </c>
      <c r="H43" s="99">
        <v>367382442.69</v>
      </c>
      <c r="I43" s="98">
        <v>3</v>
      </c>
      <c r="J43" s="99">
        <v>22188000</v>
      </c>
      <c r="K43" s="98">
        <f>C43+E43+G43+I43</f>
        <v>68</v>
      </c>
      <c r="L43" s="99">
        <f>D43+F43+H43+J43</f>
        <v>708397335.64999998</v>
      </c>
    </row>
    <row r="44" spans="1:12" ht="15" x14ac:dyDescent="0.25">
      <c r="A44" s="248"/>
      <c r="B44" s="124" t="s">
        <v>1200</v>
      </c>
      <c r="C44" s="98">
        <v>0</v>
      </c>
      <c r="D44" s="99">
        <v>0</v>
      </c>
      <c r="E44" s="98">
        <v>2</v>
      </c>
      <c r="F44" s="99">
        <v>12869000</v>
      </c>
      <c r="G44" s="98">
        <v>0</v>
      </c>
      <c r="H44" s="99">
        <v>0</v>
      </c>
      <c r="I44" s="98">
        <v>0</v>
      </c>
      <c r="J44" s="99">
        <v>0</v>
      </c>
      <c r="K44" s="98">
        <f t="shared" si="3"/>
        <v>2</v>
      </c>
      <c r="L44" s="99">
        <f t="shared" si="4"/>
        <v>12869000</v>
      </c>
    </row>
    <row r="45" spans="1:12" x14ac:dyDescent="0.2">
      <c r="A45" s="57"/>
      <c r="B45" s="57" t="s">
        <v>47</v>
      </c>
      <c r="C45" s="100">
        <f t="shared" ref="C45:L45" si="5">SUM(C29:C44)</f>
        <v>647</v>
      </c>
      <c r="D45" s="101">
        <f t="shared" si="5"/>
        <v>4781934000</v>
      </c>
      <c r="E45" s="100">
        <f t="shared" si="5"/>
        <v>420</v>
      </c>
      <c r="F45" s="101">
        <f t="shared" si="5"/>
        <v>8052997068.7899981</v>
      </c>
      <c r="G45" s="100">
        <f t="shared" si="5"/>
        <v>124</v>
      </c>
      <c r="H45" s="101">
        <f t="shared" si="5"/>
        <v>1412549116.6900001</v>
      </c>
      <c r="I45" s="100">
        <f t="shared" si="5"/>
        <v>47</v>
      </c>
      <c r="J45" s="101">
        <f t="shared" si="5"/>
        <v>319853000</v>
      </c>
      <c r="K45" s="100">
        <f t="shared" si="5"/>
        <v>1238</v>
      </c>
      <c r="L45" s="101">
        <f t="shared" si="5"/>
        <v>14567333185.480001</v>
      </c>
    </row>
    <row r="46" spans="1:12" x14ac:dyDescent="0.2">
      <c r="A46" s="246" t="s">
        <v>84</v>
      </c>
      <c r="B46" s="51" t="s">
        <v>84</v>
      </c>
      <c r="C46" s="98">
        <v>23</v>
      </c>
      <c r="D46" s="99">
        <v>173844000</v>
      </c>
      <c r="E46" s="98">
        <v>46</v>
      </c>
      <c r="F46" s="99">
        <v>294029582.75999999</v>
      </c>
      <c r="G46" s="98">
        <v>86</v>
      </c>
      <c r="H46" s="99">
        <v>554768515.40999997</v>
      </c>
      <c r="I46" s="98">
        <v>16</v>
      </c>
      <c r="J46" s="99">
        <v>107486000</v>
      </c>
      <c r="K46" s="98">
        <f t="shared" ref="K46:K53" si="6">C46+E46+G46+I46</f>
        <v>171</v>
      </c>
      <c r="L46" s="99">
        <f t="shared" ref="L46:L53" si="7">D46+F46+H46+J46</f>
        <v>1130128098.1700001</v>
      </c>
    </row>
    <row r="47" spans="1:12" x14ac:dyDescent="0.2">
      <c r="A47" s="247"/>
      <c r="B47" s="51" t="s">
        <v>254</v>
      </c>
      <c r="C47" s="98">
        <v>11</v>
      </c>
      <c r="D47" s="99">
        <v>80580000</v>
      </c>
      <c r="E47" s="98">
        <v>24</v>
      </c>
      <c r="F47" s="99">
        <v>224564939.34999999</v>
      </c>
      <c r="G47" s="98">
        <v>13</v>
      </c>
      <c r="H47" s="99">
        <v>96925835.629999995</v>
      </c>
      <c r="I47" s="98">
        <v>7</v>
      </c>
      <c r="J47" s="99">
        <v>50208000</v>
      </c>
      <c r="K47" s="98">
        <f t="shared" si="6"/>
        <v>55</v>
      </c>
      <c r="L47" s="99">
        <f t="shared" si="7"/>
        <v>452278774.98000002</v>
      </c>
    </row>
    <row r="48" spans="1:12" x14ac:dyDescent="0.2">
      <c r="A48" s="247"/>
      <c r="B48" s="51" t="s">
        <v>256</v>
      </c>
      <c r="C48" s="98">
        <v>2</v>
      </c>
      <c r="D48" s="99">
        <v>14022000</v>
      </c>
      <c r="E48" s="98">
        <v>1</v>
      </c>
      <c r="F48" s="99">
        <v>6551000</v>
      </c>
      <c r="G48" s="98">
        <v>21</v>
      </c>
      <c r="H48" s="99">
        <v>140164002.33000001</v>
      </c>
      <c r="I48" s="98">
        <v>3</v>
      </c>
      <c r="J48" s="99">
        <v>20754000</v>
      </c>
      <c r="K48" s="98">
        <f t="shared" si="6"/>
        <v>27</v>
      </c>
      <c r="L48" s="99">
        <f t="shared" si="7"/>
        <v>181491002.33000001</v>
      </c>
    </row>
    <row r="49" spans="1:12" x14ac:dyDescent="0.2">
      <c r="A49" s="247"/>
      <c r="B49" s="51" t="s">
        <v>262</v>
      </c>
      <c r="C49" s="98">
        <v>10</v>
      </c>
      <c r="D49" s="99">
        <v>76228000</v>
      </c>
      <c r="E49" s="98">
        <v>9</v>
      </c>
      <c r="F49" s="99">
        <v>94481045.459999993</v>
      </c>
      <c r="G49" s="98">
        <v>1</v>
      </c>
      <c r="H49" s="99">
        <v>21403683.870000001</v>
      </c>
      <c r="I49" s="98">
        <v>2</v>
      </c>
      <c r="J49" s="99">
        <v>14360000</v>
      </c>
      <c r="K49" s="98">
        <f t="shared" si="6"/>
        <v>22</v>
      </c>
      <c r="L49" s="99">
        <f t="shared" si="7"/>
        <v>206472729.32999998</v>
      </c>
    </row>
    <row r="50" spans="1:12" x14ac:dyDescent="0.2">
      <c r="A50" s="247"/>
      <c r="B50" s="51" t="s">
        <v>118</v>
      </c>
      <c r="C50" s="98">
        <v>51</v>
      </c>
      <c r="D50" s="99">
        <v>381998000</v>
      </c>
      <c r="E50" s="98">
        <v>24</v>
      </c>
      <c r="F50" s="99">
        <v>203440574.43000001</v>
      </c>
      <c r="G50" s="98">
        <v>9</v>
      </c>
      <c r="H50" s="99">
        <v>132594424.37</v>
      </c>
      <c r="I50" s="98">
        <v>9</v>
      </c>
      <c r="J50" s="99">
        <v>59452000</v>
      </c>
      <c r="K50" s="98">
        <f t="shared" si="6"/>
        <v>93</v>
      </c>
      <c r="L50" s="99">
        <f t="shared" si="7"/>
        <v>777484998.80000007</v>
      </c>
    </row>
    <row r="51" spans="1:12" x14ac:dyDescent="0.2">
      <c r="A51" s="247"/>
      <c r="B51" s="51" t="s">
        <v>173</v>
      </c>
      <c r="C51" s="98">
        <v>7</v>
      </c>
      <c r="D51" s="99">
        <v>49703000</v>
      </c>
      <c r="E51" s="98">
        <v>9</v>
      </c>
      <c r="F51" s="99">
        <v>79416274.129999995</v>
      </c>
      <c r="G51" s="98">
        <v>3</v>
      </c>
      <c r="H51" s="99">
        <v>33705171.649999999</v>
      </c>
      <c r="I51" s="98">
        <v>4</v>
      </c>
      <c r="J51" s="99">
        <v>27491000</v>
      </c>
      <c r="K51" s="98">
        <f t="shared" si="6"/>
        <v>23</v>
      </c>
      <c r="L51" s="99">
        <f t="shared" si="7"/>
        <v>190315445.78</v>
      </c>
    </row>
    <row r="52" spans="1:12" x14ac:dyDescent="0.2">
      <c r="A52" s="247"/>
      <c r="B52" s="51" t="s">
        <v>120</v>
      </c>
      <c r="C52" s="98">
        <v>12</v>
      </c>
      <c r="D52" s="99">
        <v>102927000</v>
      </c>
      <c r="E52" s="98">
        <v>5</v>
      </c>
      <c r="F52" s="99">
        <v>50913535</v>
      </c>
      <c r="G52" s="98">
        <v>11</v>
      </c>
      <c r="H52" s="99">
        <v>88179081.010000005</v>
      </c>
      <c r="I52" s="98">
        <v>4</v>
      </c>
      <c r="J52" s="99">
        <v>29228000</v>
      </c>
      <c r="K52" s="98">
        <f t="shared" si="6"/>
        <v>32</v>
      </c>
      <c r="L52" s="99">
        <f t="shared" si="7"/>
        <v>271247616.00999999</v>
      </c>
    </row>
    <row r="53" spans="1:12" x14ac:dyDescent="0.2">
      <c r="A53" s="248"/>
      <c r="B53" s="51" t="s">
        <v>121</v>
      </c>
      <c r="C53" s="98">
        <v>7</v>
      </c>
      <c r="D53" s="99">
        <v>42564000</v>
      </c>
      <c r="E53" s="98">
        <v>14</v>
      </c>
      <c r="F53" s="99">
        <v>73677000</v>
      </c>
      <c r="G53" s="98">
        <v>19</v>
      </c>
      <c r="H53" s="99">
        <v>118829656.25</v>
      </c>
      <c r="I53" s="98">
        <v>5</v>
      </c>
      <c r="J53" s="99">
        <v>35321000</v>
      </c>
      <c r="K53" s="98">
        <f t="shared" si="6"/>
        <v>45</v>
      </c>
      <c r="L53" s="99">
        <f t="shared" si="7"/>
        <v>270391656.25</v>
      </c>
    </row>
    <row r="54" spans="1:12" x14ac:dyDescent="0.2">
      <c r="A54" s="57"/>
      <c r="B54" s="57" t="s">
        <v>49</v>
      </c>
      <c r="C54" s="100">
        <f t="shared" ref="C54:L54" si="8">SUM(C46:C53)</f>
        <v>123</v>
      </c>
      <c r="D54" s="101">
        <f t="shared" si="8"/>
        <v>921866000</v>
      </c>
      <c r="E54" s="100">
        <f t="shared" si="8"/>
        <v>132</v>
      </c>
      <c r="F54" s="101">
        <f t="shared" si="8"/>
        <v>1027073951.13</v>
      </c>
      <c r="G54" s="100">
        <f t="shared" si="8"/>
        <v>163</v>
      </c>
      <c r="H54" s="101">
        <f t="shared" si="8"/>
        <v>1186570370.52</v>
      </c>
      <c r="I54" s="100">
        <f t="shared" si="8"/>
        <v>50</v>
      </c>
      <c r="J54" s="101">
        <f t="shared" si="8"/>
        <v>344300000</v>
      </c>
      <c r="K54" s="100">
        <f t="shared" si="8"/>
        <v>468</v>
      </c>
      <c r="L54" s="101">
        <f t="shared" si="8"/>
        <v>3479810321.6500006</v>
      </c>
    </row>
    <row r="55" spans="1:12" x14ac:dyDescent="0.2">
      <c r="A55" s="246" t="s">
        <v>85</v>
      </c>
      <c r="B55" s="59" t="s">
        <v>85</v>
      </c>
      <c r="C55" s="98">
        <v>0</v>
      </c>
      <c r="D55" s="99">
        <v>0</v>
      </c>
      <c r="E55" s="98">
        <v>2</v>
      </c>
      <c r="F55" s="99">
        <v>9706000</v>
      </c>
      <c r="G55" s="98">
        <v>14</v>
      </c>
      <c r="H55" s="99">
        <v>79421000</v>
      </c>
      <c r="I55" s="98">
        <v>3</v>
      </c>
      <c r="J55" s="99">
        <v>20056000</v>
      </c>
      <c r="K55" s="98">
        <f t="shared" ref="K55:K64" si="9">C55+E55+G55+I55</f>
        <v>19</v>
      </c>
      <c r="L55" s="99">
        <f t="shared" ref="L55:L64" si="10">D55+F55+H55+J55</f>
        <v>109183000</v>
      </c>
    </row>
    <row r="56" spans="1:12" x14ac:dyDescent="0.2">
      <c r="A56" s="247"/>
      <c r="B56" s="51" t="s">
        <v>137</v>
      </c>
      <c r="C56" s="98">
        <v>3</v>
      </c>
      <c r="D56" s="99">
        <v>19443000</v>
      </c>
      <c r="E56" s="98">
        <v>2</v>
      </c>
      <c r="F56" s="99">
        <v>11500000</v>
      </c>
      <c r="G56" s="98">
        <v>0</v>
      </c>
      <c r="H56" s="99">
        <v>0</v>
      </c>
      <c r="I56" s="98">
        <v>0</v>
      </c>
      <c r="J56" s="99">
        <v>0</v>
      </c>
      <c r="K56" s="98">
        <f t="shared" si="9"/>
        <v>5</v>
      </c>
      <c r="L56" s="99">
        <f t="shared" si="10"/>
        <v>30943000</v>
      </c>
    </row>
    <row r="57" spans="1:12" x14ac:dyDescent="0.2">
      <c r="A57" s="247"/>
      <c r="B57" s="51" t="s">
        <v>174</v>
      </c>
      <c r="C57" s="98">
        <v>1</v>
      </c>
      <c r="D57" s="99">
        <v>7100000</v>
      </c>
      <c r="E57" s="98">
        <v>0</v>
      </c>
      <c r="F57" s="99">
        <v>0</v>
      </c>
      <c r="G57" s="98">
        <v>1</v>
      </c>
      <c r="H57" s="99">
        <v>6487000</v>
      </c>
      <c r="I57" s="98">
        <v>1</v>
      </c>
      <c r="J57" s="99">
        <v>7260000</v>
      </c>
      <c r="K57" s="98">
        <f t="shared" si="9"/>
        <v>3</v>
      </c>
      <c r="L57" s="99">
        <f t="shared" si="10"/>
        <v>20847000</v>
      </c>
    </row>
    <row r="58" spans="1:12" x14ac:dyDescent="0.2">
      <c r="A58" s="247"/>
      <c r="B58" s="51" t="s">
        <v>274</v>
      </c>
      <c r="C58" s="98">
        <v>2</v>
      </c>
      <c r="D58" s="99">
        <v>14115000</v>
      </c>
      <c r="E58" s="98">
        <v>7</v>
      </c>
      <c r="F58" s="99">
        <v>41429000</v>
      </c>
      <c r="G58" s="98">
        <v>1</v>
      </c>
      <c r="H58" s="99">
        <v>7015000</v>
      </c>
      <c r="I58" s="98">
        <v>2</v>
      </c>
      <c r="J58" s="99">
        <v>14425000</v>
      </c>
      <c r="K58" s="98">
        <f t="shared" si="9"/>
        <v>12</v>
      </c>
      <c r="L58" s="99">
        <f t="shared" si="10"/>
        <v>76984000</v>
      </c>
    </row>
    <row r="59" spans="1:12" x14ac:dyDescent="0.2">
      <c r="A59" s="247"/>
      <c r="B59" s="51" t="s">
        <v>100</v>
      </c>
      <c r="C59" s="98">
        <v>2</v>
      </c>
      <c r="D59" s="99">
        <v>16064000</v>
      </c>
      <c r="E59" s="98">
        <v>1</v>
      </c>
      <c r="F59" s="99">
        <v>5064000</v>
      </c>
      <c r="G59" s="98">
        <v>6</v>
      </c>
      <c r="H59" s="99">
        <v>32304000</v>
      </c>
      <c r="I59" s="98">
        <v>1</v>
      </c>
      <c r="J59" s="99">
        <v>7100000</v>
      </c>
      <c r="K59" s="98">
        <f t="shared" si="9"/>
        <v>10</v>
      </c>
      <c r="L59" s="99">
        <f t="shared" si="10"/>
        <v>60532000</v>
      </c>
    </row>
    <row r="60" spans="1:12" x14ac:dyDescent="0.2">
      <c r="A60" s="247"/>
      <c r="B60" s="51" t="s">
        <v>122</v>
      </c>
      <c r="C60" s="98">
        <v>3</v>
      </c>
      <c r="D60" s="99">
        <v>24762000</v>
      </c>
      <c r="E60" s="98">
        <v>0</v>
      </c>
      <c r="F60" s="99">
        <v>0</v>
      </c>
      <c r="G60" s="98">
        <v>0</v>
      </c>
      <c r="H60" s="99">
        <v>0</v>
      </c>
      <c r="I60" s="98">
        <v>1</v>
      </c>
      <c r="J60" s="99">
        <v>5281000</v>
      </c>
      <c r="K60" s="98">
        <f t="shared" si="9"/>
        <v>4</v>
      </c>
      <c r="L60" s="99">
        <f t="shared" si="10"/>
        <v>30043000</v>
      </c>
    </row>
    <row r="61" spans="1:12" x14ac:dyDescent="0.2">
      <c r="A61" s="247"/>
      <c r="B61" s="51" t="s">
        <v>275</v>
      </c>
      <c r="C61" s="98">
        <v>1</v>
      </c>
      <c r="D61" s="99">
        <v>7404000</v>
      </c>
      <c r="E61" s="98">
        <v>0</v>
      </c>
      <c r="F61" s="99">
        <v>0</v>
      </c>
      <c r="G61" s="98">
        <v>0</v>
      </c>
      <c r="H61" s="99">
        <v>0</v>
      </c>
      <c r="I61" s="98">
        <v>0</v>
      </c>
      <c r="J61" s="99">
        <v>0</v>
      </c>
      <c r="K61" s="98">
        <f t="shared" si="9"/>
        <v>1</v>
      </c>
      <c r="L61" s="99">
        <f t="shared" si="10"/>
        <v>7404000</v>
      </c>
    </row>
    <row r="62" spans="1:12" x14ac:dyDescent="0.2">
      <c r="A62" s="247"/>
      <c r="B62" s="51" t="s">
        <v>58</v>
      </c>
      <c r="C62" s="98">
        <v>0</v>
      </c>
      <c r="D62" s="99">
        <v>0</v>
      </c>
      <c r="E62" s="98">
        <v>0</v>
      </c>
      <c r="F62" s="99">
        <v>0</v>
      </c>
      <c r="G62" s="98">
        <v>2</v>
      </c>
      <c r="H62" s="99">
        <v>11774000</v>
      </c>
      <c r="I62" s="98">
        <v>0</v>
      </c>
      <c r="J62" s="99">
        <v>0</v>
      </c>
      <c r="K62" s="98">
        <f t="shared" si="9"/>
        <v>2</v>
      </c>
      <c r="L62" s="99">
        <f t="shared" si="10"/>
        <v>11774000</v>
      </c>
    </row>
    <row r="63" spans="1:12" x14ac:dyDescent="0.2">
      <c r="A63" s="247"/>
      <c r="B63" s="51" t="s">
        <v>170</v>
      </c>
      <c r="C63" s="98">
        <v>0</v>
      </c>
      <c r="D63" s="99">
        <v>0</v>
      </c>
      <c r="E63" s="98">
        <v>2</v>
      </c>
      <c r="F63" s="99">
        <v>10251000</v>
      </c>
      <c r="G63" s="98">
        <v>4</v>
      </c>
      <c r="H63" s="99">
        <v>23880000</v>
      </c>
      <c r="I63" s="98">
        <v>0</v>
      </c>
      <c r="J63" s="99">
        <v>0</v>
      </c>
      <c r="K63" s="98">
        <f t="shared" si="9"/>
        <v>6</v>
      </c>
      <c r="L63" s="99">
        <f t="shared" si="10"/>
        <v>34131000</v>
      </c>
    </row>
    <row r="64" spans="1:12" x14ac:dyDescent="0.2">
      <c r="A64" s="247"/>
      <c r="B64" s="51" t="s">
        <v>261</v>
      </c>
      <c r="C64" s="98">
        <v>113</v>
      </c>
      <c r="D64" s="99">
        <v>876101000</v>
      </c>
      <c r="E64" s="98">
        <v>31</v>
      </c>
      <c r="F64" s="99">
        <v>353054620.64999998</v>
      </c>
      <c r="G64" s="98">
        <v>13</v>
      </c>
      <c r="H64" s="99">
        <v>249178182.34</v>
      </c>
      <c r="I64" s="98">
        <v>12</v>
      </c>
      <c r="J64" s="99">
        <v>87368000</v>
      </c>
      <c r="K64" s="98">
        <f t="shared" si="9"/>
        <v>169</v>
      </c>
      <c r="L64" s="99">
        <f t="shared" si="10"/>
        <v>1565701802.99</v>
      </c>
    </row>
    <row r="65" spans="1:12" x14ac:dyDescent="0.2">
      <c r="A65" s="57"/>
      <c r="B65" s="57" t="s">
        <v>50</v>
      </c>
      <c r="C65" s="100">
        <f t="shared" ref="C65:L65" si="11">SUM(C55:C64)</f>
        <v>125</v>
      </c>
      <c r="D65" s="101">
        <f t="shared" si="11"/>
        <v>964989000</v>
      </c>
      <c r="E65" s="100">
        <f t="shared" si="11"/>
        <v>45</v>
      </c>
      <c r="F65" s="101">
        <f t="shared" si="11"/>
        <v>431004620.64999998</v>
      </c>
      <c r="G65" s="100">
        <f t="shared" si="11"/>
        <v>41</v>
      </c>
      <c r="H65" s="101">
        <f t="shared" si="11"/>
        <v>410059182.34000003</v>
      </c>
      <c r="I65" s="100">
        <f t="shared" si="11"/>
        <v>20</v>
      </c>
      <c r="J65" s="101">
        <f t="shared" si="11"/>
        <v>141490000</v>
      </c>
      <c r="K65" s="100">
        <f t="shared" si="11"/>
        <v>231</v>
      </c>
      <c r="L65" s="101">
        <f t="shared" si="11"/>
        <v>1947542802.99</v>
      </c>
    </row>
    <row r="66" spans="1:12" x14ac:dyDescent="0.2">
      <c r="A66" s="246" t="s">
        <v>86</v>
      </c>
      <c r="B66" s="51" t="s">
        <v>123</v>
      </c>
      <c r="C66" s="98">
        <v>22</v>
      </c>
      <c r="D66" s="99">
        <v>159282000</v>
      </c>
      <c r="E66" s="98">
        <v>4</v>
      </c>
      <c r="F66" s="99">
        <v>36584016.600000001</v>
      </c>
      <c r="G66" s="98">
        <v>5</v>
      </c>
      <c r="H66" s="99">
        <v>59126311.68</v>
      </c>
      <c r="I66" s="98">
        <v>1</v>
      </c>
      <c r="J66" s="99">
        <v>7075000</v>
      </c>
      <c r="K66" s="98">
        <f t="shared" ref="K66:K76" si="12">C66+E66+G66+I66</f>
        <v>32</v>
      </c>
      <c r="L66" s="99">
        <f t="shared" ref="L66:L76" si="13">D66+F66+H66+J66</f>
        <v>262067328.28</v>
      </c>
    </row>
    <row r="67" spans="1:12" x14ac:dyDescent="0.2">
      <c r="A67" s="247"/>
      <c r="B67" s="51" t="s">
        <v>124</v>
      </c>
      <c r="C67" s="98">
        <v>113</v>
      </c>
      <c r="D67" s="99">
        <v>853127000</v>
      </c>
      <c r="E67" s="98">
        <v>8</v>
      </c>
      <c r="F67" s="99">
        <v>90715891.280000001</v>
      </c>
      <c r="G67" s="98">
        <v>0</v>
      </c>
      <c r="H67" s="99">
        <v>0</v>
      </c>
      <c r="I67" s="98">
        <v>0</v>
      </c>
      <c r="J67" s="99">
        <v>0</v>
      </c>
      <c r="K67" s="98">
        <f t="shared" si="12"/>
        <v>121</v>
      </c>
      <c r="L67" s="99">
        <f t="shared" si="13"/>
        <v>943842891.27999997</v>
      </c>
    </row>
    <row r="68" spans="1:12" x14ac:dyDescent="0.2">
      <c r="A68" s="247"/>
      <c r="B68" s="51" t="s">
        <v>119</v>
      </c>
      <c r="C68" s="98">
        <v>69</v>
      </c>
      <c r="D68" s="99">
        <v>507744000</v>
      </c>
      <c r="E68" s="98">
        <v>9</v>
      </c>
      <c r="F68" s="99">
        <v>133712761.91</v>
      </c>
      <c r="G68" s="98">
        <v>26</v>
      </c>
      <c r="H68" s="99">
        <v>788693100.50999999</v>
      </c>
      <c r="I68" s="98">
        <v>0</v>
      </c>
      <c r="J68" s="99">
        <v>0</v>
      </c>
      <c r="K68" s="98">
        <f t="shared" si="12"/>
        <v>104</v>
      </c>
      <c r="L68" s="99">
        <f t="shared" si="13"/>
        <v>1430149862.4200001</v>
      </c>
    </row>
    <row r="69" spans="1:12" x14ac:dyDescent="0.2">
      <c r="A69" s="247"/>
      <c r="B69" s="51" t="s">
        <v>125</v>
      </c>
      <c r="C69" s="98">
        <v>22</v>
      </c>
      <c r="D69" s="99">
        <v>154691000</v>
      </c>
      <c r="E69" s="98">
        <v>8</v>
      </c>
      <c r="F69" s="99">
        <v>115420761.33</v>
      </c>
      <c r="G69" s="98">
        <v>1</v>
      </c>
      <c r="H69" s="99">
        <v>6775000</v>
      </c>
      <c r="I69" s="98">
        <v>0</v>
      </c>
      <c r="J69" s="99">
        <v>0</v>
      </c>
      <c r="K69" s="98">
        <f t="shared" si="12"/>
        <v>31</v>
      </c>
      <c r="L69" s="99">
        <f t="shared" si="13"/>
        <v>276886761.32999998</v>
      </c>
    </row>
    <row r="70" spans="1:12" x14ac:dyDescent="0.2">
      <c r="A70" s="247"/>
      <c r="B70" s="51" t="s">
        <v>126</v>
      </c>
      <c r="C70" s="98">
        <v>68</v>
      </c>
      <c r="D70" s="99">
        <v>474846000</v>
      </c>
      <c r="E70" s="98">
        <v>1</v>
      </c>
      <c r="F70" s="99">
        <v>7070000</v>
      </c>
      <c r="G70" s="98">
        <v>51</v>
      </c>
      <c r="H70" s="99">
        <v>1228533463.0799999</v>
      </c>
      <c r="I70" s="98">
        <v>0</v>
      </c>
      <c r="J70" s="99">
        <v>0</v>
      </c>
      <c r="K70" s="98">
        <f t="shared" si="12"/>
        <v>120</v>
      </c>
      <c r="L70" s="99">
        <f t="shared" si="13"/>
        <v>1710449463.0799999</v>
      </c>
    </row>
    <row r="71" spans="1:12" x14ac:dyDescent="0.2">
      <c r="A71" s="247"/>
      <c r="B71" s="51" t="s">
        <v>257</v>
      </c>
      <c r="C71" s="98">
        <v>10</v>
      </c>
      <c r="D71" s="99">
        <v>70980000</v>
      </c>
      <c r="E71" s="98">
        <v>5</v>
      </c>
      <c r="F71" s="99">
        <v>43604138.039999999</v>
      </c>
      <c r="G71" s="98">
        <v>1</v>
      </c>
      <c r="H71" s="99">
        <v>15155685.029999999</v>
      </c>
      <c r="I71" s="98">
        <v>1</v>
      </c>
      <c r="J71" s="99">
        <v>6615000</v>
      </c>
      <c r="K71" s="98">
        <f t="shared" si="12"/>
        <v>17</v>
      </c>
      <c r="L71" s="99">
        <f t="shared" si="13"/>
        <v>136354823.06999999</v>
      </c>
    </row>
    <row r="72" spans="1:12" x14ac:dyDescent="0.2">
      <c r="A72" s="247"/>
      <c r="B72" s="51" t="s">
        <v>138</v>
      </c>
      <c r="C72" s="98">
        <v>43</v>
      </c>
      <c r="D72" s="99">
        <v>361331155.95203</v>
      </c>
      <c r="E72" s="98">
        <v>5</v>
      </c>
      <c r="F72" s="99">
        <v>37683983.909999996</v>
      </c>
      <c r="G72" s="98">
        <v>1</v>
      </c>
      <c r="H72" s="99">
        <v>17342152.050000001</v>
      </c>
      <c r="I72" s="98">
        <v>2</v>
      </c>
      <c r="J72" s="99">
        <v>13757000</v>
      </c>
      <c r="K72" s="98">
        <f t="shared" si="12"/>
        <v>51</v>
      </c>
      <c r="L72" s="99">
        <f t="shared" si="13"/>
        <v>430114291.91203004</v>
      </c>
    </row>
    <row r="73" spans="1:12" x14ac:dyDescent="0.2">
      <c r="A73" s="247"/>
      <c r="B73" s="51" t="s">
        <v>276</v>
      </c>
      <c r="C73" s="98">
        <v>18</v>
      </c>
      <c r="D73" s="99">
        <v>149344000</v>
      </c>
      <c r="E73" s="98">
        <v>81</v>
      </c>
      <c r="F73" s="99">
        <v>2003766484.8099999</v>
      </c>
      <c r="G73" s="98">
        <v>2</v>
      </c>
      <c r="H73" s="99">
        <v>11586000</v>
      </c>
      <c r="I73" s="98">
        <v>3</v>
      </c>
      <c r="J73" s="99">
        <v>21055000</v>
      </c>
      <c r="K73" s="98">
        <f t="shared" si="12"/>
        <v>104</v>
      </c>
      <c r="L73" s="99">
        <f t="shared" si="13"/>
        <v>2185751484.8099999</v>
      </c>
    </row>
    <row r="74" spans="1:12" x14ac:dyDescent="0.2">
      <c r="A74" s="247"/>
      <c r="B74" s="51" t="s">
        <v>127</v>
      </c>
      <c r="C74" s="98">
        <v>25</v>
      </c>
      <c r="D74" s="99">
        <v>195612000</v>
      </c>
      <c r="E74" s="98">
        <v>3</v>
      </c>
      <c r="F74" s="99">
        <v>31666638.73</v>
      </c>
      <c r="G74" s="98">
        <v>0</v>
      </c>
      <c r="H74" s="99">
        <v>0</v>
      </c>
      <c r="I74" s="98">
        <v>0</v>
      </c>
      <c r="J74" s="99">
        <v>0</v>
      </c>
      <c r="K74" s="98">
        <f t="shared" si="12"/>
        <v>28</v>
      </c>
      <c r="L74" s="99">
        <f t="shared" si="13"/>
        <v>227278638.72999999</v>
      </c>
    </row>
    <row r="75" spans="1:12" x14ac:dyDescent="0.2">
      <c r="A75" s="247"/>
      <c r="B75" s="51" t="s">
        <v>59</v>
      </c>
      <c r="C75" s="98">
        <v>48</v>
      </c>
      <c r="D75" s="99">
        <v>353310000</v>
      </c>
      <c r="E75" s="98">
        <v>0</v>
      </c>
      <c r="F75" s="99">
        <v>0</v>
      </c>
      <c r="G75" s="98">
        <v>1</v>
      </c>
      <c r="H75" s="99">
        <v>15778201.35</v>
      </c>
      <c r="I75" s="98">
        <v>2</v>
      </c>
      <c r="J75" s="99">
        <v>13834000</v>
      </c>
      <c r="K75" s="98">
        <f t="shared" si="12"/>
        <v>51</v>
      </c>
      <c r="L75" s="99">
        <f t="shared" si="13"/>
        <v>382922201.35000002</v>
      </c>
    </row>
    <row r="76" spans="1:12" x14ac:dyDescent="0.2">
      <c r="A76" s="248"/>
      <c r="B76" s="51" t="s">
        <v>175</v>
      </c>
      <c r="C76" s="98">
        <v>18</v>
      </c>
      <c r="D76" s="99">
        <v>140999000</v>
      </c>
      <c r="E76" s="98">
        <v>0</v>
      </c>
      <c r="F76" s="99">
        <v>0</v>
      </c>
      <c r="G76" s="98">
        <v>0</v>
      </c>
      <c r="H76" s="99">
        <v>0</v>
      </c>
      <c r="I76" s="98">
        <v>0</v>
      </c>
      <c r="J76" s="99">
        <v>0</v>
      </c>
      <c r="K76" s="98">
        <f t="shared" si="12"/>
        <v>18</v>
      </c>
      <c r="L76" s="99">
        <f t="shared" si="13"/>
        <v>140999000</v>
      </c>
    </row>
    <row r="77" spans="1:12" x14ac:dyDescent="0.2">
      <c r="A77" s="57"/>
      <c r="B77" s="57" t="s">
        <v>51</v>
      </c>
      <c r="C77" s="100">
        <f t="shared" ref="C77:L77" si="14">SUM(C66:C76)</f>
        <v>456</v>
      </c>
      <c r="D77" s="101">
        <f t="shared" si="14"/>
        <v>3421266155.9520302</v>
      </c>
      <c r="E77" s="100">
        <f t="shared" si="14"/>
        <v>124</v>
      </c>
      <c r="F77" s="101">
        <f t="shared" si="14"/>
        <v>2500224676.6100001</v>
      </c>
      <c r="G77" s="100">
        <f t="shared" si="14"/>
        <v>88</v>
      </c>
      <c r="H77" s="101">
        <f t="shared" si="14"/>
        <v>2142989913.6999998</v>
      </c>
      <c r="I77" s="100">
        <f t="shared" si="14"/>
        <v>9</v>
      </c>
      <c r="J77" s="101">
        <f t="shared" si="14"/>
        <v>62336000</v>
      </c>
      <c r="K77" s="100">
        <f t="shared" si="14"/>
        <v>677</v>
      </c>
      <c r="L77" s="101">
        <f t="shared" si="14"/>
        <v>8126816746.2620296</v>
      </c>
    </row>
    <row r="78" spans="1:12" x14ac:dyDescent="0.2">
      <c r="A78" s="246" t="s">
        <v>87</v>
      </c>
      <c r="B78" s="51" t="s">
        <v>87</v>
      </c>
      <c r="C78" s="98">
        <v>78</v>
      </c>
      <c r="D78" s="99">
        <v>605674000</v>
      </c>
      <c r="E78" s="98">
        <v>8</v>
      </c>
      <c r="F78" s="99">
        <v>88262861.890000001</v>
      </c>
      <c r="G78" s="98">
        <v>16</v>
      </c>
      <c r="H78" s="99">
        <v>294918756.20999998</v>
      </c>
      <c r="I78" s="98">
        <v>15</v>
      </c>
      <c r="J78" s="99">
        <v>102974000</v>
      </c>
      <c r="K78" s="98">
        <f t="shared" ref="K78:K88" si="15">C78+E78+G78+I78</f>
        <v>117</v>
      </c>
      <c r="L78" s="99">
        <f t="shared" ref="L78:L88" si="16">D78+F78+H78+J78</f>
        <v>1091829618.0999999</v>
      </c>
    </row>
    <row r="79" spans="1:12" x14ac:dyDescent="0.2">
      <c r="A79" s="247"/>
      <c r="B79" s="51" t="s">
        <v>128</v>
      </c>
      <c r="C79" s="98">
        <v>11</v>
      </c>
      <c r="D79" s="99">
        <v>70364000</v>
      </c>
      <c r="E79" s="98">
        <v>3</v>
      </c>
      <c r="F79" s="99">
        <v>28942886.280000001</v>
      </c>
      <c r="G79" s="98">
        <v>0</v>
      </c>
      <c r="H79" s="99">
        <v>0</v>
      </c>
      <c r="I79" s="98">
        <v>4</v>
      </c>
      <c r="J79" s="99">
        <v>27232000</v>
      </c>
      <c r="K79" s="98">
        <f t="shared" si="15"/>
        <v>18</v>
      </c>
      <c r="L79" s="99">
        <f t="shared" si="16"/>
        <v>126538886.28</v>
      </c>
    </row>
    <row r="80" spans="1:12" x14ac:dyDescent="0.2">
      <c r="A80" s="247"/>
      <c r="B80" s="51" t="s">
        <v>111</v>
      </c>
      <c r="C80" s="98">
        <v>76</v>
      </c>
      <c r="D80" s="99">
        <v>613260000</v>
      </c>
      <c r="E80" s="98">
        <v>13</v>
      </c>
      <c r="F80" s="99">
        <v>162495578.71000001</v>
      </c>
      <c r="G80" s="98">
        <v>6</v>
      </c>
      <c r="H80" s="99">
        <v>86254003.260000005</v>
      </c>
      <c r="I80" s="98">
        <v>4</v>
      </c>
      <c r="J80" s="99">
        <v>28353000</v>
      </c>
      <c r="K80" s="98">
        <f t="shared" si="15"/>
        <v>99</v>
      </c>
      <c r="L80" s="99">
        <f t="shared" si="16"/>
        <v>890362581.97000003</v>
      </c>
    </row>
    <row r="81" spans="1:12" x14ac:dyDescent="0.2">
      <c r="A81" s="247"/>
      <c r="B81" s="51" t="s">
        <v>176</v>
      </c>
      <c r="C81" s="98">
        <v>7</v>
      </c>
      <c r="D81" s="99">
        <v>53598000</v>
      </c>
      <c r="E81" s="98">
        <v>9</v>
      </c>
      <c r="F81" s="99">
        <v>113212556.29000001</v>
      </c>
      <c r="G81" s="98">
        <v>0</v>
      </c>
      <c r="H81" s="99">
        <v>0</v>
      </c>
      <c r="I81" s="98">
        <v>2</v>
      </c>
      <c r="J81" s="99">
        <v>13138000</v>
      </c>
      <c r="K81" s="98">
        <f t="shared" si="15"/>
        <v>18</v>
      </c>
      <c r="L81" s="99">
        <f t="shared" si="16"/>
        <v>179948556.29000002</v>
      </c>
    </row>
    <row r="82" spans="1:12" x14ac:dyDescent="0.2">
      <c r="A82" s="247"/>
      <c r="B82" s="51" t="s">
        <v>129</v>
      </c>
      <c r="C82" s="98">
        <v>67</v>
      </c>
      <c r="D82" s="99">
        <v>517661000</v>
      </c>
      <c r="E82" s="98">
        <v>6</v>
      </c>
      <c r="F82" s="99">
        <v>69383805.159999996</v>
      </c>
      <c r="G82" s="98">
        <v>2</v>
      </c>
      <c r="H82" s="99">
        <v>14115000</v>
      </c>
      <c r="I82" s="98">
        <v>0</v>
      </c>
      <c r="J82" s="99">
        <v>0</v>
      </c>
      <c r="K82" s="98">
        <f t="shared" si="15"/>
        <v>75</v>
      </c>
      <c r="L82" s="99">
        <f t="shared" si="16"/>
        <v>601159805.15999997</v>
      </c>
    </row>
    <row r="83" spans="1:12" x14ac:dyDescent="0.2">
      <c r="A83" s="247"/>
      <c r="B83" s="51" t="s">
        <v>456</v>
      </c>
      <c r="C83" s="98">
        <v>15</v>
      </c>
      <c r="D83" s="99">
        <v>111694000</v>
      </c>
      <c r="E83" s="98">
        <v>0</v>
      </c>
      <c r="F83" s="99">
        <v>0</v>
      </c>
      <c r="G83" s="98">
        <v>0</v>
      </c>
      <c r="H83" s="99">
        <v>0</v>
      </c>
      <c r="I83" s="98">
        <v>0</v>
      </c>
      <c r="J83" s="99">
        <v>0</v>
      </c>
      <c r="K83" s="98">
        <f t="shared" si="15"/>
        <v>15</v>
      </c>
      <c r="L83" s="99">
        <f t="shared" si="16"/>
        <v>111694000</v>
      </c>
    </row>
    <row r="84" spans="1:12" x14ac:dyDescent="0.2">
      <c r="A84" s="247"/>
      <c r="B84" s="51" t="s">
        <v>177</v>
      </c>
      <c r="C84" s="98">
        <v>85</v>
      </c>
      <c r="D84" s="99">
        <v>653060000</v>
      </c>
      <c r="E84" s="98">
        <v>3</v>
      </c>
      <c r="F84" s="99">
        <v>41564451.469999999</v>
      </c>
      <c r="G84" s="98">
        <v>0</v>
      </c>
      <c r="H84" s="99">
        <v>0</v>
      </c>
      <c r="I84" s="98">
        <v>2</v>
      </c>
      <c r="J84" s="99">
        <v>14406000</v>
      </c>
      <c r="K84" s="98">
        <f t="shared" si="15"/>
        <v>90</v>
      </c>
      <c r="L84" s="99">
        <f t="shared" si="16"/>
        <v>709030451.47000003</v>
      </c>
    </row>
    <row r="85" spans="1:12" x14ac:dyDescent="0.2">
      <c r="A85" s="247"/>
      <c r="B85" s="51" t="s">
        <v>130</v>
      </c>
      <c r="C85" s="98">
        <v>125</v>
      </c>
      <c r="D85" s="99">
        <v>974891445.30999994</v>
      </c>
      <c r="E85" s="98">
        <v>21</v>
      </c>
      <c r="F85" s="99">
        <v>245319152.13</v>
      </c>
      <c r="G85" s="98">
        <v>1</v>
      </c>
      <c r="H85" s="99">
        <v>5334000</v>
      </c>
      <c r="I85" s="98">
        <v>4</v>
      </c>
      <c r="J85" s="99">
        <v>28730000</v>
      </c>
      <c r="K85" s="98">
        <f t="shared" si="15"/>
        <v>151</v>
      </c>
      <c r="L85" s="99">
        <f t="shared" si="16"/>
        <v>1254274597.4400001</v>
      </c>
    </row>
    <row r="86" spans="1:12" x14ac:dyDescent="0.2">
      <c r="A86" s="247"/>
      <c r="B86" s="51" t="s">
        <v>131</v>
      </c>
      <c r="C86" s="98">
        <v>24</v>
      </c>
      <c r="D86" s="99">
        <v>174179000</v>
      </c>
      <c r="E86" s="98">
        <v>40</v>
      </c>
      <c r="F86" s="99">
        <v>570440037.09000003</v>
      </c>
      <c r="G86" s="98">
        <v>0</v>
      </c>
      <c r="H86" s="99">
        <v>0</v>
      </c>
      <c r="I86" s="98">
        <v>1</v>
      </c>
      <c r="J86" s="99">
        <v>6743000</v>
      </c>
      <c r="K86" s="98">
        <f t="shared" si="15"/>
        <v>65</v>
      </c>
      <c r="L86" s="99">
        <f t="shared" si="16"/>
        <v>751362037.09000003</v>
      </c>
    </row>
    <row r="87" spans="1:12" x14ac:dyDescent="0.2">
      <c r="A87" s="247"/>
      <c r="B87" s="51" t="s">
        <v>132</v>
      </c>
      <c r="C87" s="98">
        <v>79</v>
      </c>
      <c r="D87" s="99">
        <v>610924000</v>
      </c>
      <c r="E87" s="98">
        <v>16</v>
      </c>
      <c r="F87" s="99">
        <v>194700259.75999999</v>
      </c>
      <c r="G87" s="98">
        <v>0</v>
      </c>
      <c r="H87" s="99">
        <v>0</v>
      </c>
      <c r="I87" s="98">
        <v>1</v>
      </c>
      <c r="J87" s="99">
        <v>7410000</v>
      </c>
      <c r="K87" s="98">
        <f t="shared" si="15"/>
        <v>96</v>
      </c>
      <c r="L87" s="99">
        <f t="shared" si="16"/>
        <v>813034259.75999999</v>
      </c>
    </row>
    <row r="88" spans="1:12" x14ac:dyDescent="0.2">
      <c r="A88" s="248"/>
      <c r="B88" s="51" t="s">
        <v>277</v>
      </c>
      <c r="C88" s="98">
        <v>11</v>
      </c>
      <c r="D88" s="99">
        <v>82549000</v>
      </c>
      <c r="E88" s="98">
        <v>0</v>
      </c>
      <c r="F88" s="99">
        <v>0</v>
      </c>
      <c r="G88" s="98">
        <v>0</v>
      </c>
      <c r="H88" s="99">
        <v>0</v>
      </c>
      <c r="I88" s="98">
        <v>0</v>
      </c>
      <c r="J88" s="99">
        <v>0</v>
      </c>
      <c r="K88" s="98">
        <f t="shared" si="15"/>
        <v>11</v>
      </c>
      <c r="L88" s="99">
        <f t="shared" si="16"/>
        <v>82549000</v>
      </c>
    </row>
    <row r="89" spans="1:12" x14ac:dyDescent="0.2">
      <c r="A89" s="57"/>
      <c r="B89" s="57" t="s">
        <v>52</v>
      </c>
      <c r="C89" s="100">
        <f t="shared" ref="C89:L89" si="17">SUM(C78:C88)</f>
        <v>578</v>
      </c>
      <c r="D89" s="101">
        <f t="shared" si="17"/>
        <v>4467854445.3099995</v>
      </c>
      <c r="E89" s="100">
        <f t="shared" si="17"/>
        <v>119</v>
      </c>
      <c r="F89" s="101">
        <f t="shared" si="17"/>
        <v>1514321588.78</v>
      </c>
      <c r="G89" s="100">
        <f t="shared" si="17"/>
        <v>25</v>
      </c>
      <c r="H89" s="101">
        <f t="shared" si="17"/>
        <v>400621759.46999997</v>
      </c>
      <c r="I89" s="100">
        <f t="shared" si="17"/>
        <v>33</v>
      </c>
      <c r="J89" s="101">
        <f t="shared" si="17"/>
        <v>228986000</v>
      </c>
      <c r="K89" s="100">
        <f t="shared" si="17"/>
        <v>755</v>
      </c>
      <c r="L89" s="101">
        <f t="shared" si="17"/>
        <v>6611783793.5599995</v>
      </c>
    </row>
    <row r="90" spans="1:12" x14ac:dyDescent="0.2">
      <c r="A90" s="249" t="s">
        <v>207</v>
      </c>
      <c r="B90" s="51" t="s">
        <v>207</v>
      </c>
      <c r="C90" s="98">
        <v>35</v>
      </c>
      <c r="D90" s="99">
        <v>270771000</v>
      </c>
      <c r="E90" s="98">
        <v>6</v>
      </c>
      <c r="F90" s="99">
        <v>63736154.780000001</v>
      </c>
      <c r="G90" s="98">
        <v>4</v>
      </c>
      <c r="H90" s="99">
        <v>27361000</v>
      </c>
      <c r="I90" s="98">
        <v>8</v>
      </c>
      <c r="J90" s="99">
        <v>54639000</v>
      </c>
      <c r="K90" s="98">
        <f t="shared" ref="K90:K95" si="18">C90+E90+G90+I90</f>
        <v>53</v>
      </c>
      <c r="L90" s="99">
        <f t="shared" ref="L90:L95" si="19">D90+F90+H90+J90</f>
        <v>416507154.77999997</v>
      </c>
    </row>
    <row r="91" spans="1:12" x14ac:dyDescent="0.2">
      <c r="A91" s="250"/>
      <c r="B91" s="51" t="s">
        <v>253</v>
      </c>
      <c r="C91" s="98">
        <v>185</v>
      </c>
      <c r="D91" s="99">
        <v>1441093800</v>
      </c>
      <c r="E91" s="98">
        <v>82</v>
      </c>
      <c r="F91" s="99">
        <v>878628028.5</v>
      </c>
      <c r="G91" s="98">
        <v>22</v>
      </c>
      <c r="H91" s="99">
        <v>182851625.13999999</v>
      </c>
      <c r="I91" s="98">
        <v>19</v>
      </c>
      <c r="J91" s="99">
        <v>137364000</v>
      </c>
      <c r="K91" s="98">
        <f t="shared" si="18"/>
        <v>308</v>
      </c>
      <c r="L91" s="99">
        <f t="shared" si="19"/>
        <v>2639937453.6399999</v>
      </c>
    </row>
    <row r="92" spans="1:12" x14ac:dyDescent="0.2">
      <c r="A92" s="250"/>
      <c r="B92" s="51" t="s">
        <v>133</v>
      </c>
      <c r="C92" s="98">
        <v>61</v>
      </c>
      <c r="D92" s="99">
        <v>487361000</v>
      </c>
      <c r="E92" s="98">
        <v>10</v>
      </c>
      <c r="F92" s="99">
        <v>85971144.099999994</v>
      </c>
      <c r="G92" s="98">
        <v>1</v>
      </c>
      <c r="H92" s="99">
        <v>4757000</v>
      </c>
      <c r="I92" s="98">
        <v>18</v>
      </c>
      <c r="J92" s="99">
        <v>124312000</v>
      </c>
      <c r="K92" s="98">
        <f t="shared" si="18"/>
        <v>90</v>
      </c>
      <c r="L92" s="99">
        <f t="shared" si="19"/>
        <v>702401144.10000002</v>
      </c>
    </row>
    <row r="93" spans="1:12" x14ac:dyDescent="0.2">
      <c r="A93" s="250"/>
      <c r="B93" s="51" t="s">
        <v>178</v>
      </c>
      <c r="C93" s="98">
        <v>83</v>
      </c>
      <c r="D93" s="99">
        <v>888884156.44000006</v>
      </c>
      <c r="E93" s="98">
        <v>9</v>
      </c>
      <c r="F93" s="99">
        <v>80848500</v>
      </c>
      <c r="G93" s="98">
        <v>1</v>
      </c>
      <c r="H93" s="99">
        <v>4965000</v>
      </c>
      <c r="I93" s="98">
        <v>0</v>
      </c>
      <c r="J93" s="99">
        <v>0</v>
      </c>
      <c r="K93" s="98">
        <f t="shared" si="18"/>
        <v>93</v>
      </c>
      <c r="L93" s="99">
        <f t="shared" si="19"/>
        <v>974697656.44000006</v>
      </c>
    </row>
    <row r="94" spans="1:12" x14ac:dyDescent="0.2">
      <c r="A94" s="250"/>
      <c r="B94" s="51" t="s">
        <v>179</v>
      </c>
      <c r="C94" s="98">
        <v>50</v>
      </c>
      <c r="D94" s="99">
        <v>410086078.38</v>
      </c>
      <c r="E94" s="98">
        <v>4</v>
      </c>
      <c r="F94" s="99">
        <v>36325000</v>
      </c>
      <c r="G94" s="98">
        <v>1</v>
      </c>
      <c r="H94" s="99">
        <v>5942000</v>
      </c>
      <c r="I94" s="98">
        <v>5</v>
      </c>
      <c r="J94" s="99">
        <v>35962000</v>
      </c>
      <c r="K94" s="98">
        <f t="shared" si="18"/>
        <v>60</v>
      </c>
      <c r="L94" s="99">
        <f t="shared" si="19"/>
        <v>488315078.38</v>
      </c>
    </row>
    <row r="95" spans="1:12" x14ac:dyDescent="0.2">
      <c r="A95" s="251"/>
      <c r="B95" s="51" t="s">
        <v>258</v>
      </c>
      <c r="C95" s="98">
        <v>76</v>
      </c>
      <c r="D95" s="99">
        <v>580014000</v>
      </c>
      <c r="E95" s="98">
        <v>46</v>
      </c>
      <c r="F95" s="99">
        <v>554036975.84000003</v>
      </c>
      <c r="G95" s="98">
        <v>0</v>
      </c>
      <c r="H95" s="99">
        <v>0</v>
      </c>
      <c r="I95" s="98">
        <v>10</v>
      </c>
      <c r="J95" s="99">
        <v>73079000</v>
      </c>
      <c r="K95" s="98">
        <f t="shared" si="18"/>
        <v>132</v>
      </c>
      <c r="L95" s="99">
        <f t="shared" si="19"/>
        <v>1207129975.8400002</v>
      </c>
    </row>
    <row r="96" spans="1:12" x14ac:dyDescent="0.2">
      <c r="A96" s="57"/>
      <c r="B96" s="57" t="s">
        <v>53</v>
      </c>
      <c r="C96" s="100">
        <f t="shared" ref="C96:L96" si="20">SUM(C90:C95)</f>
        <v>490</v>
      </c>
      <c r="D96" s="101">
        <f t="shared" si="20"/>
        <v>4078210034.8200002</v>
      </c>
      <c r="E96" s="100">
        <f t="shared" si="20"/>
        <v>157</v>
      </c>
      <c r="F96" s="101">
        <f t="shared" si="20"/>
        <v>1699545803.2200003</v>
      </c>
      <c r="G96" s="100">
        <f t="shared" si="20"/>
        <v>29</v>
      </c>
      <c r="H96" s="101">
        <f t="shared" si="20"/>
        <v>225876625.13999999</v>
      </c>
      <c r="I96" s="100">
        <f t="shared" si="20"/>
        <v>60</v>
      </c>
      <c r="J96" s="101">
        <f t="shared" si="20"/>
        <v>425356000</v>
      </c>
      <c r="K96" s="100">
        <f t="shared" si="20"/>
        <v>736</v>
      </c>
      <c r="L96" s="101">
        <f t="shared" si="20"/>
        <v>6428988463.1800003</v>
      </c>
    </row>
    <row r="97" spans="1:12" x14ac:dyDescent="0.2">
      <c r="A97" s="58"/>
      <c r="B97" s="58"/>
      <c r="C97" s="102"/>
      <c r="D97" s="103"/>
      <c r="E97" s="102"/>
      <c r="F97" s="103"/>
      <c r="G97" s="102"/>
      <c r="H97" s="103"/>
      <c r="I97" s="102"/>
      <c r="J97" s="103"/>
      <c r="K97" s="102"/>
      <c r="L97" s="103"/>
    </row>
    <row r="98" spans="1:12" x14ac:dyDescent="0.2">
      <c r="A98" s="104" t="s">
        <v>68</v>
      </c>
      <c r="B98" s="104"/>
      <c r="C98" s="105">
        <f t="shared" ref="C98:L98" si="21">C28+C45+C54+C65+C77+C89+C96</f>
        <v>2750</v>
      </c>
      <c r="D98" s="101">
        <f t="shared" si="21"/>
        <v>21145959636.082031</v>
      </c>
      <c r="E98" s="105">
        <f t="shared" si="21"/>
        <v>1125</v>
      </c>
      <c r="F98" s="101">
        <f t="shared" si="21"/>
        <v>16740003880.98</v>
      </c>
      <c r="G98" s="105">
        <f t="shared" si="21"/>
        <v>614</v>
      </c>
      <c r="H98" s="101">
        <f t="shared" si="21"/>
        <v>7363889435.5</v>
      </c>
      <c r="I98" s="105">
        <f t="shared" si="21"/>
        <v>292</v>
      </c>
      <c r="J98" s="101">
        <f t="shared" si="21"/>
        <v>2025286000</v>
      </c>
      <c r="K98" s="105">
        <f t="shared" si="21"/>
        <v>4781</v>
      </c>
      <c r="L98" s="101">
        <f t="shared" si="21"/>
        <v>47275138952.562035</v>
      </c>
    </row>
    <row r="99" spans="1:12" x14ac:dyDescent="0.2">
      <c r="C99" s="106"/>
      <c r="D99" s="107"/>
      <c r="E99" s="107"/>
      <c r="F99" s="107"/>
      <c r="G99" s="107"/>
      <c r="H99" s="107"/>
      <c r="I99" s="107"/>
      <c r="J99" s="107"/>
      <c r="K99" s="107"/>
      <c r="L99" s="107"/>
    </row>
    <row r="100" spans="1:12" x14ac:dyDescent="0.2">
      <c r="C100" s="107"/>
      <c r="D100" s="107"/>
      <c r="E100" s="107"/>
      <c r="F100" s="107"/>
      <c r="G100" s="107"/>
      <c r="H100" s="107"/>
      <c r="I100" s="107"/>
      <c r="J100" s="107"/>
      <c r="K100" s="107"/>
      <c r="L100" s="107"/>
    </row>
    <row r="101" spans="1:12" x14ac:dyDescent="0.2">
      <c r="C101" s="107"/>
      <c r="D101" s="107"/>
      <c r="E101" s="107"/>
      <c r="F101" s="107"/>
      <c r="G101" s="107"/>
      <c r="H101" s="107"/>
      <c r="I101" s="107"/>
      <c r="J101" s="107"/>
      <c r="K101" s="107"/>
      <c r="L101" s="108"/>
    </row>
    <row r="102" spans="1:12" x14ac:dyDescent="0.2">
      <c r="C102" s="107"/>
      <c r="E102" s="107"/>
      <c r="G102" s="107"/>
      <c r="I102" s="107"/>
    </row>
    <row r="145" spans="1:12" s="109" customFormat="1" x14ac:dyDescent="0.2">
      <c r="A145" s="63"/>
      <c r="B145" s="63"/>
      <c r="C145" s="63"/>
      <c r="D145" s="63"/>
      <c r="E145" s="63"/>
      <c r="F145" s="63"/>
      <c r="G145" s="63"/>
      <c r="H145" s="63"/>
      <c r="I145" s="63"/>
      <c r="J145" s="63"/>
      <c r="K145" s="63"/>
      <c r="L145" s="63"/>
    </row>
    <row r="243" spans="1:12" outlineLevel="2" x14ac:dyDescent="0.2"/>
    <row r="244" spans="1:12" outlineLevel="2" x14ac:dyDescent="0.2"/>
    <row r="245" spans="1:12" outlineLevel="2" x14ac:dyDescent="0.2"/>
    <row r="246" spans="1:12" outlineLevel="2" x14ac:dyDescent="0.2"/>
    <row r="247" spans="1:12" outlineLevel="2" x14ac:dyDescent="0.2"/>
    <row r="248" spans="1:12" outlineLevel="2" x14ac:dyDescent="0.2"/>
    <row r="249" spans="1:12" outlineLevel="2" x14ac:dyDescent="0.2"/>
    <row r="250" spans="1:12" outlineLevel="2" x14ac:dyDescent="0.2"/>
    <row r="251" spans="1:12" outlineLevel="2" x14ac:dyDescent="0.2"/>
    <row r="252" spans="1:12" outlineLevel="2" x14ac:dyDescent="0.2"/>
    <row r="253" spans="1:12" outlineLevel="2" x14ac:dyDescent="0.2"/>
    <row r="254" spans="1:12" s="109" customFormat="1" outlineLevel="2" x14ac:dyDescent="0.2">
      <c r="A254" s="63"/>
      <c r="B254" s="63"/>
      <c r="C254" s="63"/>
      <c r="D254" s="63"/>
      <c r="E254" s="63"/>
      <c r="F254" s="63"/>
      <c r="G254" s="63"/>
      <c r="H254" s="63"/>
      <c r="I254" s="63"/>
      <c r="J254" s="63"/>
      <c r="K254" s="63"/>
      <c r="L254" s="63"/>
    </row>
    <row r="255" spans="1:12" outlineLevel="1" x14ac:dyDescent="0.2"/>
    <row r="256" spans="1:12" outlineLevel="2" x14ac:dyDescent="0.2"/>
    <row r="257" outlineLevel="2" x14ac:dyDescent="0.2"/>
    <row r="258" outlineLevel="2" x14ac:dyDescent="0.2"/>
    <row r="259" outlineLevel="2" x14ac:dyDescent="0.2"/>
    <row r="260" outlineLevel="2" x14ac:dyDescent="0.2"/>
    <row r="261" outlineLevel="1" x14ac:dyDescent="0.2"/>
    <row r="262" outlineLevel="2" x14ac:dyDescent="0.2"/>
    <row r="263" outlineLevel="2" x14ac:dyDescent="0.2"/>
    <row r="264" outlineLevel="2" x14ac:dyDescent="0.2"/>
    <row r="265" outlineLevel="2" x14ac:dyDescent="0.2"/>
    <row r="266" outlineLevel="2" x14ac:dyDescent="0.2"/>
    <row r="267" outlineLevel="2" x14ac:dyDescent="0.2"/>
    <row r="268" outlineLevel="2" x14ac:dyDescent="0.2"/>
    <row r="269" outlineLevel="2" x14ac:dyDescent="0.2"/>
    <row r="270" outlineLevel="1" x14ac:dyDescent="0.2"/>
    <row r="271" outlineLevel="2" x14ac:dyDescent="0.2"/>
    <row r="272" outlineLevel="2" x14ac:dyDescent="0.2"/>
    <row r="273" outlineLevel="2" x14ac:dyDescent="0.2"/>
    <row r="274" outlineLevel="1" x14ac:dyDescent="0.2"/>
    <row r="275" outlineLevel="2" x14ac:dyDescent="0.2"/>
    <row r="276" outlineLevel="2" x14ac:dyDescent="0.2"/>
    <row r="277" outlineLevel="2" x14ac:dyDescent="0.2"/>
    <row r="278" outlineLevel="2" x14ac:dyDescent="0.2"/>
    <row r="279" outlineLevel="2" x14ac:dyDescent="0.2"/>
    <row r="280" outlineLevel="2" x14ac:dyDescent="0.2"/>
    <row r="281" outlineLevel="2" x14ac:dyDescent="0.2"/>
    <row r="282" outlineLevel="2" x14ac:dyDescent="0.2"/>
    <row r="283" outlineLevel="2" x14ac:dyDescent="0.2"/>
    <row r="284" outlineLevel="2" x14ac:dyDescent="0.2"/>
    <row r="285" outlineLevel="2" x14ac:dyDescent="0.2"/>
    <row r="286" outlineLevel="2" x14ac:dyDescent="0.2"/>
    <row r="287" outlineLevel="1" x14ac:dyDescent="0.2"/>
    <row r="288" outlineLevel="2" x14ac:dyDescent="0.2"/>
    <row r="289" outlineLevel="2" x14ac:dyDescent="0.2"/>
    <row r="290" outlineLevel="2" x14ac:dyDescent="0.2"/>
    <row r="291" outlineLevel="2" x14ac:dyDescent="0.2"/>
    <row r="292" outlineLevel="2" x14ac:dyDescent="0.2"/>
    <row r="293" outlineLevel="2" x14ac:dyDescent="0.2"/>
    <row r="294" outlineLevel="2" x14ac:dyDescent="0.2"/>
    <row r="295" outlineLevel="2" x14ac:dyDescent="0.2"/>
    <row r="296" outlineLevel="1" x14ac:dyDescent="0.2"/>
    <row r="297" outlineLevel="2" x14ac:dyDescent="0.2"/>
    <row r="298" outlineLevel="2" x14ac:dyDescent="0.2"/>
    <row r="299" outlineLevel="2" x14ac:dyDescent="0.2"/>
    <row r="300" outlineLevel="2" x14ac:dyDescent="0.2"/>
    <row r="301" outlineLevel="1" x14ac:dyDescent="0.2"/>
    <row r="302" outlineLevel="2" x14ac:dyDescent="0.2"/>
    <row r="303" outlineLevel="2" x14ac:dyDescent="0.2"/>
    <row r="304" outlineLevel="2" x14ac:dyDescent="0.2"/>
    <row r="305" spans="1:12" outlineLevel="2" x14ac:dyDescent="0.2"/>
    <row r="306" spans="1:12" outlineLevel="2" x14ac:dyDescent="0.2"/>
    <row r="307" spans="1:12" s="109" customFormat="1" outlineLevel="2" x14ac:dyDescent="0.2">
      <c r="A307" s="63"/>
      <c r="B307" s="63"/>
      <c r="C307" s="63"/>
      <c r="D307" s="63"/>
      <c r="E307" s="63"/>
      <c r="F307" s="63"/>
      <c r="G307" s="63"/>
      <c r="H307" s="63"/>
      <c r="I307" s="63"/>
      <c r="J307" s="63"/>
      <c r="K307" s="63"/>
      <c r="L307" s="63"/>
    </row>
    <row r="308" spans="1:12" outlineLevel="1" x14ac:dyDescent="0.2"/>
    <row r="309" spans="1:12" outlineLevel="2" x14ac:dyDescent="0.2"/>
    <row r="310" spans="1:12" outlineLevel="2" x14ac:dyDescent="0.2"/>
    <row r="311" spans="1:12" outlineLevel="2" x14ac:dyDescent="0.2"/>
    <row r="312" spans="1:12" outlineLevel="2" x14ac:dyDescent="0.2"/>
    <row r="313" spans="1:12" outlineLevel="2" x14ac:dyDescent="0.2"/>
    <row r="314" spans="1:12" outlineLevel="2" x14ac:dyDescent="0.2"/>
    <row r="315" spans="1:12" outlineLevel="1" x14ac:dyDescent="0.2"/>
    <row r="316" spans="1:12" outlineLevel="2" x14ac:dyDescent="0.2"/>
    <row r="317" spans="1:12" outlineLevel="2" x14ac:dyDescent="0.2"/>
    <row r="318" spans="1:12" outlineLevel="2" x14ac:dyDescent="0.2"/>
    <row r="319" spans="1:12" outlineLevel="2" x14ac:dyDescent="0.2"/>
    <row r="320" spans="1:12" outlineLevel="2" x14ac:dyDescent="0.2"/>
    <row r="321" outlineLevel="2" x14ac:dyDescent="0.2"/>
    <row r="322" outlineLevel="2" x14ac:dyDescent="0.2"/>
    <row r="323" outlineLevel="2" x14ac:dyDescent="0.2"/>
    <row r="324" outlineLevel="1" x14ac:dyDescent="0.2"/>
    <row r="325" outlineLevel="2" x14ac:dyDescent="0.2"/>
    <row r="326" outlineLevel="2" x14ac:dyDescent="0.2"/>
    <row r="327" outlineLevel="2" x14ac:dyDescent="0.2"/>
    <row r="328" outlineLevel="2" x14ac:dyDescent="0.2"/>
    <row r="329" outlineLevel="2" x14ac:dyDescent="0.2"/>
    <row r="330" outlineLevel="2" x14ac:dyDescent="0.2"/>
    <row r="331" outlineLevel="1" x14ac:dyDescent="0.2"/>
    <row r="332" outlineLevel="2" x14ac:dyDescent="0.2"/>
    <row r="333" outlineLevel="2" x14ac:dyDescent="0.2"/>
    <row r="334" outlineLevel="2" x14ac:dyDescent="0.2"/>
    <row r="335" outlineLevel="2" x14ac:dyDescent="0.2"/>
    <row r="336" outlineLevel="2" x14ac:dyDescent="0.2"/>
    <row r="337" outlineLevel="1" x14ac:dyDescent="0.2"/>
    <row r="338" outlineLevel="2" x14ac:dyDescent="0.2"/>
    <row r="339" outlineLevel="2" x14ac:dyDescent="0.2"/>
    <row r="340" outlineLevel="2" x14ac:dyDescent="0.2"/>
    <row r="341" outlineLevel="2" x14ac:dyDescent="0.2"/>
    <row r="342" outlineLevel="1" x14ac:dyDescent="0.2"/>
    <row r="343" outlineLevel="2" x14ac:dyDescent="0.2"/>
    <row r="344" outlineLevel="2" x14ac:dyDescent="0.2"/>
    <row r="345" outlineLevel="2" x14ac:dyDescent="0.2"/>
    <row r="346" outlineLevel="1" x14ac:dyDescent="0.2"/>
    <row r="347" outlineLevel="2" x14ac:dyDescent="0.2"/>
    <row r="348" outlineLevel="2" x14ac:dyDescent="0.2"/>
    <row r="349" outlineLevel="2" x14ac:dyDescent="0.2"/>
    <row r="350" outlineLevel="1" x14ac:dyDescent="0.2"/>
    <row r="351" outlineLevel="2" x14ac:dyDescent="0.2"/>
    <row r="352" outlineLevel="1" x14ac:dyDescent="0.2"/>
    <row r="353" spans="1:12" outlineLevel="2" x14ac:dyDescent="0.2"/>
    <row r="354" spans="1:12" outlineLevel="2" x14ac:dyDescent="0.2"/>
    <row r="355" spans="1:12" outlineLevel="2" x14ac:dyDescent="0.2"/>
    <row r="356" spans="1:12" outlineLevel="2" x14ac:dyDescent="0.2"/>
    <row r="357" spans="1:12" outlineLevel="2" x14ac:dyDescent="0.2"/>
    <row r="358" spans="1:12" outlineLevel="1" x14ac:dyDescent="0.2"/>
    <row r="359" spans="1:12" outlineLevel="2" x14ac:dyDescent="0.2"/>
    <row r="360" spans="1:12" outlineLevel="2" x14ac:dyDescent="0.2"/>
    <row r="361" spans="1:12" outlineLevel="2" x14ac:dyDescent="0.2"/>
    <row r="362" spans="1:12" outlineLevel="2" x14ac:dyDescent="0.2"/>
    <row r="363" spans="1:12" outlineLevel="2" x14ac:dyDescent="0.2"/>
    <row r="364" spans="1:12" s="109" customFormat="1" outlineLevel="2" x14ac:dyDescent="0.2">
      <c r="A364" s="63"/>
      <c r="B364" s="63"/>
      <c r="C364" s="63"/>
      <c r="D364" s="63"/>
      <c r="E364" s="63"/>
      <c r="F364" s="63"/>
      <c r="G364" s="63"/>
      <c r="H364" s="63"/>
      <c r="I364" s="63"/>
      <c r="J364" s="63"/>
      <c r="K364" s="63"/>
      <c r="L364" s="63"/>
    </row>
    <row r="365" spans="1:12" outlineLevel="1" x14ac:dyDescent="0.2"/>
    <row r="366" spans="1:12" outlineLevel="2" x14ac:dyDescent="0.2"/>
    <row r="367" spans="1:12" outlineLevel="2" x14ac:dyDescent="0.2"/>
    <row r="368" spans="1:12" outlineLevel="2" x14ac:dyDescent="0.2"/>
    <row r="369" outlineLevel="2" x14ac:dyDescent="0.2"/>
    <row r="370" outlineLevel="2" x14ac:dyDescent="0.2"/>
    <row r="371" outlineLevel="2" x14ac:dyDescent="0.2"/>
    <row r="372" outlineLevel="2" x14ac:dyDescent="0.2"/>
    <row r="373" outlineLevel="1" x14ac:dyDescent="0.2"/>
    <row r="374" outlineLevel="2" x14ac:dyDescent="0.2"/>
    <row r="375" outlineLevel="2" x14ac:dyDescent="0.2"/>
    <row r="376" outlineLevel="2" x14ac:dyDescent="0.2"/>
    <row r="377" outlineLevel="2" x14ac:dyDescent="0.2"/>
    <row r="378" outlineLevel="2" x14ac:dyDescent="0.2"/>
    <row r="379" outlineLevel="2" x14ac:dyDescent="0.2"/>
    <row r="380" outlineLevel="2" x14ac:dyDescent="0.2"/>
    <row r="381" outlineLevel="2" x14ac:dyDescent="0.2"/>
    <row r="382" outlineLevel="2" x14ac:dyDescent="0.2"/>
    <row r="383" outlineLevel="1" x14ac:dyDescent="0.2"/>
    <row r="384" outlineLevel="2" x14ac:dyDescent="0.2"/>
    <row r="385" outlineLevel="2" x14ac:dyDescent="0.2"/>
    <row r="386" outlineLevel="2" x14ac:dyDescent="0.2"/>
    <row r="387" outlineLevel="2" x14ac:dyDescent="0.2"/>
    <row r="388" outlineLevel="1" collapsed="1" x14ac:dyDescent="0.2"/>
    <row r="389" outlineLevel="2" x14ac:dyDescent="0.2"/>
    <row r="390" outlineLevel="2" x14ac:dyDescent="0.2"/>
    <row r="391" outlineLevel="2" x14ac:dyDescent="0.2"/>
    <row r="392" outlineLevel="2" x14ac:dyDescent="0.2"/>
    <row r="393" outlineLevel="1" collapsed="1" x14ac:dyDescent="0.2"/>
    <row r="394" outlineLevel="2" x14ac:dyDescent="0.2"/>
    <row r="395" outlineLevel="2" x14ac:dyDescent="0.2"/>
    <row r="396" outlineLevel="2" x14ac:dyDescent="0.2"/>
    <row r="397" outlineLevel="2" x14ac:dyDescent="0.2"/>
    <row r="398" outlineLevel="2" x14ac:dyDescent="0.2"/>
    <row r="399" outlineLevel="1" collapsed="1" x14ac:dyDescent="0.2"/>
    <row r="400" outlineLevel="2" x14ac:dyDescent="0.2"/>
    <row r="401" outlineLevel="2" x14ac:dyDescent="0.2"/>
    <row r="402" outlineLevel="2" x14ac:dyDescent="0.2"/>
    <row r="403" outlineLevel="2" x14ac:dyDescent="0.2"/>
    <row r="404" outlineLevel="1" collapsed="1" x14ac:dyDescent="0.2"/>
    <row r="405" outlineLevel="2" x14ac:dyDescent="0.2"/>
    <row r="406" outlineLevel="2" x14ac:dyDescent="0.2"/>
    <row r="407" outlineLevel="2" x14ac:dyDescent="0.2"/>
    <row r="408" outlineLevel="2" x14ac:dyDescent="0.2"/>
    <row r="409" outlineLevel="2" x14ac:dyDescent="0.2"/>
    <row r="410" outlineLevel="2" x14ac:dyDescent="0.2"/>
    <row r="411" outlineLevel="2" x14ac:dyDescent="0.2"/>
    <row r="412" outlineLevel="1" collapsed="1" x14ac:dyDescent="0.2"/>
    <row r="413" outlineLevel="2" x14ac:dyDescent="0.2"/>
    <row r="414" outlineLevel="2" x14ac:dyDescent="0.2"/>
    <row r="415" outlineLevel="2" x14ac:dyDescent="0.2"/>
    <row r="416" outlineLevel="2" x14ac:dyDescent="0.2"/>
    <row r="417" outlineLevel="2" x14ac:dyDescent="0.2"/>
    <row r="418" outlineLevel="2" x14ac:dyDescent="0.2"/>
    <row r="419" outlineLevel="1" collapsed="1" x14ac:dyDescent="0.2"/>
    <row r="420" outlineLevel="2" x14ac:dyDescent="0.2"/>
    <row r="421" outlineLevel="2" x14ac:dyDescent="0.2"/>
    <row r="422" outlineLevel="2" x14ac:dyDescent="0.2"/>
    <row r="423" outlineLevel="2" x14ac:dyDescent="0.2"/>
    <row r="424" outlineLevel="1" collapsed="1" x14ac:dyDescent="0.2"/>
    <row r="425" outlineLevel="2" x14ac:dyDescent="0.2"/>
    <row r="426" outlineLevel="2" x14ac:dyDescent="0.2"/>
    <row r="427" outlineLevel="2" x14ac:dyDescent="0.2"/>
    <row r="428" outlineLevel="2" x14ac:dyDescent="0.2"/>
    <row r="429" outlineLevel="2" x14ac:dyDescent="0.2"/>
    <row r="430" outlineLevel="1" collapsed="1" x14ac:dyDescent="0.2"/>
    <row r="431" outlineLevel="2" x14ac:dyDescent="0.2"/>
    <row r="432" outlineLevel="2" x14ac:dyDescent="0.2"/>
    <row r="433" spans="1:12" outlineLevel="2" x14ac:dyDescent="0.2"/>
    <row r="434" spans="1:12" outlineLevel="2" x14ac:dyDescent="0.2"/>
    <row r="435" spans="1:12" outlineLevel="2" x14ac:dyDescent="0.2"/>
    <row r="436" spans="1:12" outlineLevel="2" x14ac:dyDescent="0.2"/>
    <row r="437" spans="1:12" outlineLevel="2" x14ac:dyDescent="0.2"/>
    <row r="438" spans="1:12" outlineLevel="2" x14ac:dyDescent="0.2"/>
    <row r="439" spans="1:12" outlineLevel="2" x14ac:dyDescent="0.2"/>
    <row r="440" spans="1:12" outlineLevel="2" x14ac:dyDescent="0.2"/>
    <row r="441" spans="1:12" outlineLevel="2" x14ac:dyDescent="0.2"/>
    <row r="442" spans="1:12" outlineLevel="2" x14ac:dyDescent="0.2"/>
    <row r="443" spans="1:12" outlineLevel="2" x14ac:dyDescent="0.2"/>
    <row r="444" spans="1:12" outlineLevel="2" x14ac:dyDescent="0.2"/>
    <row r="445" spans="1:12" outlineLevel="2" x14ac:dyDescent="0.2"/>
    <row r="446" spans="1:12" s="109" customFormat="1" outlineLevel="2" x14ac:dyDescent="0.2">
      <c r="A446" s="63"/>
      <c r="B446" s="63"/>
      <c r="C446" s="63"/>
      <c r="D446" s="63"/>
      <c r="E446" s="63"/>
      <c r="F446" s="63"/>
      <c r="G446" s="63"/>
      <c r="H446" s="63"/>
      <c r="I446" s="63"/>
      <c r="J446" s="63"/>
      <c r="K446" s="63"/>
      <c r="L446" s="63"/>
    </row>
    <row r="447" spans="1:12" outlineLevel="1" x14ac:dyDescent="0.2"/>
    <row r="448" spans="1:12" outlineLevel="2" x14ac:dyDescent="0.2"/>
    <row r="449" outlineLevel="2" x14ac:dyDescent="0.2"/>
    <row r="450" outlineLevel="2" x14ac:dyDescent="0.2"/>
    <row r="451" outlineLevel="2" x14ac:dyDescent="0.2"/>
    <row r="452" outlineLevel="2" x14ac:dyDescent="0.2"/>
    <row r="453" outlineLevel="1" collapsed="1" x14ac:dyDescent="0.2"/>
    <row r="454" outlineLevel="2" x14ac:dyDescent="0.2"/>
    <row r="455" outlineLevel="2" x14ac:dyDescent="0.2"/>
    <row r="456" outlineLevel="2" x14ac:dyDescent="0.2"/>
    <row r="457" outlineLevel="2" x14ac:dyDescent="0.2"/>
    <row r="458" outlineLevel="2" x14ac:dyDescent="0.2"/>
    <row r="459" outlineLevel="2" x14ac:dyDescent="0.2"/>
    <row r="460" outlineLevel="2" x14ac:dyDescent="0.2"/>
    <row r="461" outlineLevel="2" x14ac:dyDescent="0.2"/>
    <row r="462" outlineLevel="2" x14ac:dyDescent="0.2"/>
    <row r="463" outlineLevel="1" collapsed="1" x14ac:dyDescent="0.2"/>
    <row r="464" outlineLevel="2" x14ac:dyDescent="0.2"/>
    <row r="465" outlineLevel="2" x14ac:dyDescent="0.2"/>
    <row r="466" outlineLevel="2" x14ac:dyDescent="0.2"/>
    <row r="467" outlineLevel="1" collapsed="1" x14ac:dyDescent="0.2"/>
    <row r="468" outlineLevel="2" x14ac:dyDescent="0.2"/>
    <row r="469" outlineLevel="2" x14ac:dyDescent="0.2"/>
    <row r="470" outlineLevel="2" x14ac:dyDescent="0.2"/>
    <row r="471" outlineLevel="2" x14ac:dyDescent="0.2"/>
    <row r="472" outlineLevel="2" x14ac:dyDescent="0.2"/>
    <row r="473" outlineLevel="1" collapsed="1" x14ac:dyDescent="0.2"/>
    <row r="474" outlineLevel="2" x14ac:dyDescent="0.2"/>
    <row r="475" outlineLevel="2" x14ac:dyDescent="0.2"/>
    <row r="476" outlineLevel="2" x14ac:dyDescent="0.2"/>
    <row r="477" outlineLevel="1" collapsed="1" x14ac:dyDescent="0.2"/>
    <row r="478" outlineLevel="2" x14ac:dyDescent="0.2"/>
    <row r="479" outlineLevel="2" x14ac:dyDescent="0.2"/>
    <row r="480" outlineLevel="2" x14ac:dyDescent="0.2"/>
    <row r="481" outlineLevel="2" x14ac:dyDescent="0.2"/>
    <row r="482" outlineLevel="1" collapsed="1" x14ac:dyDescent="0.2"/>
    <row r="483" outlineLevel="2" x14ac:dyDescent="0.2"/>
    <row r="484" outlineLevel="2" x14ac:dyDescent="0.2"/>
    <row r="485" outlineLevel="2" x14ac:dyDescent="0.2"/>
    <row r="486" outlineLevel="2" x14ac:dyDescent="0.2"/>
    <row r="487" outlineLevel="2" x14ac:dyDescent="0.2"/>
    <row r="488" outlineLevel="1" collapsed="1" x14ac:dyDescent="0.2"/>
    <row r="489" outlineLevel="2" x14ac:dyDescent="0.2"/>
    <row r="490" outlineLevel="1" collapsed="1" x14ac:dyDescent="0.2"/>
    <row r="491" outlineLevel="2" x14ac:dyDescent="0.2"/>
    <row r="492" outlineLevel="2" x14ac:dyDescent="0.2"/>
    <row r="493" outlineLevel="2" x14ac:dyDescent="0.2"/>
    <row r="494" outlineLevel="2" x14ac:dyDescent="0.2"/>
    <row r="495" outlineLevel="1" collapsed="1" x14ac:dyDescent="0.2"/>
    <row r="496" outlineLevel="2" x14ac:dyDescent="0.2"/>
    <row r="497" spans="1:12" outlineLevel="2" x14ac:dyDescent="0.2"/>
    <row r="498" spans="1:12" outlineLevel="1" collapsed="1" x14ac:dyDescent="0.2"/>
    <row r="499" spans="1:12" outlineLevel="2" x14ac:dyDescent="0.2"/>
    <row r="500" spans="1:12" outlineLevel="2" x14ac:dyDescent="0.2"/>
    <row r="501" spans="1:12" outlineLevel="2" x14ac:dyDescent="0.2"/>
    <row r="502" spans="1:12" outlineLevel="2" x14ac:dyDescent="0.2"/>
    <row r="503" spans="1:12" s="109" customFormat="1" outlineLevel="2" x14ac:dyDescent="0.2">
      <c r="A503" s="63"/>
      <c r="B503" s="63"/>
      <c r="C503" s="63"/>
      <c r="D503" s="63"/>
      <c r="E503" s="63"/>
      <c r="F503" s="63"/>
      <c r="G503" s="63"/>
      <c r="H503" s="63"/>
      <c r="I503" s="63"/>
      <c r="J503" s="63"/>
      <c r="K503" s="63"/>
      <c r="L503" s="63"/>
    </row>
    <row r="504" spans="1:12" outlineLevel="1" x14ac:dyDescent="0.2"/>
    <row r="505" spans="1:12" outlineLevel="2" x14ac:dyDescent="0.2"/>
    <row r="506" spans="1:12" outlineLevel="2" x14ac:dyDescent="0.2"/>
    <row r="507" spans="1:12" outlineLevel="2" x14ac:dyDescent="0.2"/>
    <row r="508" spans="1:12" outlineLevel="2" x14ac:dyDescent="0.2"/>
    <row r="509" spans="1:12" outlineLevel="2" x14ac:dyDescent="0.2"/>
    <row r="510" spans="1:12" outlineLevel="2" x14ac:dyDescent="0.2"/>
    <row r="511" spans="1:12" outlineLevel="1" collapsed="1" x14ac:dyDescent="0.2"/>
    <row r="512" spans="1:12" outlineLevel="2" x14ac:dyDescent="0.2"/>
    <row r="513" outlineLevel="2" x14ac:dyDescent="0.2"/>
    <row r="514" outlineLevel="2" x14ac:dyDescent="0.2"/>
    <row r="515" outlineLevel="2" x14ac:dyDescent="0.2"/>
    <row r="516" outlineLevel="2" x14ac:dyDescent="0.2"/>
    <row r="517" outlineLevel="2" x14ac:dyDescent="0.2"/>
    <row r="518" outlineLevel="1" collapsed="1" x14ac:dyDescent="0.2"/>
    <row r="519" outlineLevel="2" x14ac:dyDescent="0.2"/>
    <row r="520" outlineLevel="2" x14ac:dyDescent="0.2"/>
    <row r="521" outlineLevel="2" x14ac:dyDescent="0.2"/>
    <row r="522" outlineLevel="2" x14ac:dyDescent="0.2"/>
    <row r="523" outlineLevel="1" collapsed="1" x14ac:dyDescent="0.2"/>
    <row r="524" outlineLevel="2" x14ac:dyDescent="0.2"/>
    <row r="525" outlineLevel="2" x14ac:dyDescent="0.2"/>
    <row r="526" outlineLevel="2" x14ac:dyDescent="0.2"/>
    <row r="527" outlineLevel="1" collapsed="1" x14ac:dyDescent="0.2"/>
    <row r="528" outlineLevel="2" x14ac:dyDescent="0.2"/>
    <row r="529" spans="1:12" outlineLevel="2" x14ac:dyDescent="0.2"/>
    <row r="530" spans="1:12" outlineLevel="2" x14ac:dyDescent="0.2"/>
    <row r="531" spans="1:12" outlineLevel="2" x14ac:dyDescent="0.2"/>
    <row r="532" spans="1:12" outlineLevel="2" x14ac:dyDescent="0.2"/>
    <row r="533" spans="1:12" outlineLevel="1" collapsed="1" x14ac:dyDescent="0.2"/>
    <row r="534" spans="1:12" s="109" customFormat="1" outlineLevel="2" x14ac:dyDescent="0.2">
      <c r="A534" s="63"/>
      <c r="B534" s="63"/>
      <c r="C534" s="63"/>
      <c r="D534" s="63"/>
      <c r="E534" s="63"/>
      <c r="F534" s="63"/>
      <c r="G534" s="63"/>
      <c r="H534" s="63"/>
      <c r="I534" s="63"/>
      <c r="J534" s="63"/>
      <c r="K534" s="63"/>
      <c r="L534" s="63"/>
    </row>
    <row r="535" spans="1:12" s="109" customFormat="1" outlineLevel="2" x14ac:dyDescent="0.2">
      <c r="A535" s="63"/>
      <c r="B535" s="63"/>
      <c r="C535" s="63"/>
      <c r="D535" s="63"/>
      <c r="E535" s="63"/>
      <c r="F535" s="63"/>
      <c r="G535" s="63"/>
      <c r="H535" s="63"/>
      <c r="I535" s="63"/>
      <c r="J535" s="63"/>
      <c r="K535" s="63"/>
      <c r="L535" s="63"/>
    </row>
  </sheetData>
  <mergeCells count="14">
    <mergeCell ref="A46:A53"/>
    <mergeCell ref="A66:A76"/>
    <mergeCell ref="A78:A88"/>
    <mergeCell ref="A90:A95"/>
    <mergeCell ref="A8:A27"/>
    <mergeCell ref="A29:A44"/>
    <mergeCell ref="A55:A64"/>
    <mergeCell ref="K5:L6"/>
    <mergeCell ref="G5:H6"/>
    <mergeCell ref="E5:F6"/>
    <mergeCell ref="C5:D6"/>
    <mergeCell ref="A4:A7"/>
    <mergeCell ref="B4:B7"/>
    <mergeCell ref="I5:J6"/>
  </mergeCells>
  <phoneticPr fontId="3" type="noConversion"/>
  <printOptions horizontalCentered="1"/>
  <pageMargins left="0.39370078740157483" right="0.39370078740157483" top="0.78740157480314965" bottom="0.59055118110236227" header="0.59055118110236227" footer="0.19685039370078741"/>
  <pageSetup scale="77" fitToHeight="2" orientation="landscape" r:id="rId1"/>
  <headerFooter alignWithMargins="0">
    <oddHeader>&amp;C&amp;UAnexo Nº 4</oddHeader>
    <oddFooter>&amp;RAnexo Nº 4, página &amp;P de &amp;N</oddFooter>
  </headerFooter>
  <ignoredErrors>
    <ignoredError sqref="K65:L77 K44:L45 K54:L54 K89:L89 K28:L4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8"/>
  <sheetViews>
    <sheetView showGridLines="0" zoomScaleNormal="100" zoomScaleSheetLayoutView="100" workbookViewId="0">
      <selection activeCell="E46" sqref="E46"/>
    </sheetView>
  </sheetViews>
  <sheetFormatPr baseColWidth="10" defaultRowHeight="12.75" x14ac:dyDescent="0.2"/>
  <cols>
    <col min="1" max="1" width="12.5703125" style="27" customWidth="1"/>
    <col min="2" max="2" width="14.5703125" style="27" customWidth="1"/>
    <col min="3" max="3" width="14" style="40" customWidth="1"/>
    <col min="4" max="4" width="22.5703125" style="40" customWidth="1"/>
    <col min="5" max="5" width="21.85546875" style="27" customWidth="1"/>
    <col min="6" max="6" width="19" style="27" customWidth="1"/>
    <col min="7" max="7" width="22.5703125" style="27" customWidth="1"/>
    <col min="8" max="8" width="21.85546875" style="27" customWidth="1"/>
    <col min="9" max="9" width="11.42578125" style="27"/>
    <col min="10" max="10" width="15.42578125" style="27" bestFit="1" customWidth="1"/>
    <col min="11" max="16384" width="11.42578125" style="27"/>
  </cols>
  <sheetData>
    <row r="1" spans="1:8" ht="28.5" customHeight="1" x14ac:dyDescent="0.3">
      <c r="A1" s="259" t="s">
        <v>311</v>
      </c>
      <c r="B1" s="259"/>
      <c r="C1" s="259"/>
      <c r="D1" s="259"/>
      <c r="E1" s="259"/>
      <c r="F1" s="259"/>
      <c r="G1" s="259"/>
      <c r="H1" s="259"/>
    </row>
    <row r="2" spans="1:8" ht="28.5" customHeight="1" x14ac:dyDescent="0.3">
      <c r="A2" s="259" t="s">
        <v>1196</v>
      </c>
      <c r="B2" s="259"/>
      <c r="C2" s="259"/>
      <c r="D2" s="259"/>
      <c r="E2" s="259"/>
      <c r="F2" s="259"/>
      <c r="G2" s="259"/>
      <c r="H2" s="259"/>
    </row>
    <row r="3" spans="1:8" ht="15" x14ac:dyDescent="0.2">
      <c r="A3" s="28"/>
      <c r="B3" s="28"/>
      <c r="C3" s="29"/>
      <c r="D3" s="29"/>
      <c r="E3" s="28"/>
      <c r="F3" s="28"/>
      <c r="G3" s="28"/>
      <c r="H3" s="30"/>
    </row>
    <row r="4" spans="1:8" ht="15" customHeight="1" x14ac:dyDescent="0.25">
      <c r="A4" s="257" t="s">
        <v>139</v>
      </c>
      <c r="B4" s="43" t="s">
        <v>163</v>
      </c>
      <c r="C4" s="42"/>
      <c r="D4" s="42"/>
      <c r="E4" s="42"/>
      <c r="F4" s="43" t="s">
        <v>164</v>
      </c>
      <c r="G4" s="42"/>
      <c r="H4" s="42"/>
    </row>
    <row r="5" spans="1:8" s="33" customFormat="1" ht="47.25" customHeight="1" x14ac:dyDescent="0.2">
      <c r="A5" s="258"/>
      <c r="B5" s="41" t="s">
        <v>140</v>
      </c>
      <c r="C5" s="31" t="s">
        <v>159</v>
      </c>
      <c r="D5" s="32" t="s">
        <v>141</v>
      </c>
      <c r="E5" s="31" t="s">
        <v>160</v>
      </c>
      <c r="F5" s="31" t="s">
        <v>161</v>
      </c>
      <c r="G5" s="32" t="s">
        <v>141</v>
      </c>
      <c r="H5" s="31" t="s">
        <v>162</v>
      </c>
    </row>
    <row r="6" spans="1:8" ht="15.75" customHeight="1" x14ac:dyDescent="0.2">
      <c r="A6" s="256" t="s">
        <v>134</v>
      </c>
      <c r="B6" s="34" t="s">
        <v>142</v>
      </c>
      <c r="C6" s="35">
        <v>382</v>
      </c>
      <c r="D6" s="66">
        <f>+E6/C6</f>
        <v>7730083.7696335083</v>
      </c>
      <c r="E6" s="66">
        <v>2952892000</v>
      </c>
      <c r="F6" s="35">
        <f>C6</f>
        <v>382</v>
      </c>
      <c r="G6" s="44">
        <f t="shared" ref="G6:G11" si="0">IF(F6=0,0,H6/F6)</f>
        <v>7730083.7696335083</v>
      </c>
      <c r="H6" s="44">
        <f>E6</f>
        <v>2952892000</v>
      </c>
    </row>
    <row r="7" spans="1:8" ht="15" x14ac:dyDescent="0.2">
      <c r="A7" s="256"/>
      <c r="B7" s="34" t="s">
        <v>143</v>
      </c>
      <c r="C7" s="35">
        <v>978</v>
      </c>
      <c r="D7" s="66">
        <f>+E7/C7</f>
        <v>7892192.0628129346</v>
      </c>
      <c r="E7" s="66">
        <v>7718563837.4310503</v>
      </c>
      <c r="F7" s="35">
        <f t="shared" ref="F7:F14" si="1">F6+C7</f>
        <v>1360</v>
      </c>
      <c r="G7" s="44">
        <f t="shared" si="0"/>
        <v>7846658.7039934183</v>
      </c>
      <c r="H7" s="44">
        <f t="shared" ref="H7:H14" si="2">H6+E7</f>
        <v>10671455837.431049</v>
      </c>
    </row>
    <row r="8" spans="1:8" ht="15" x14ac:dyDescent="0.2">
      <c r="A8" s="256"/>
      <c r="B8" s="34" t="s">
        <v>144</v>
      </c>
      <c r="C8" s="35">
        <v>1390</v>
      </c>
      <c r="D8" s="66">
        <f>+E8/C8</f>
        <v>7535614.2436337983</v>
      </c>
      <c r="E8" s="66">
        <v>10474503798.65098</v>
      </c>
      <c r="F8" s="35">
        <f t="shared" si="1"/>
        <v>2750</v>
      </c>
      <c r="G8" s="44">
        <f t="shared" si="0"/>
        <v>7689439.8676661933</v>
      </c>
      <c r="H8" s="44">
        <f t="shared" si="2"/>
        <v>21145959636.082031</v>
      </c>
    </row>
    <row r="9" spans="1:8" ht="15" x14ac:dyDescent="0.2">
      <c r="A9" s="256"/>
      <c r="B9" s="34" t="s">
        <v>145</v>
      </c>
      <c r="C9" s="35"/>
      <c r="D9" s="66"/>
      <c r="E9" s="66"/>
      <c r="F9" s="35">
        <f t="shared" si="1"/>
        <v>2750</v>
      </c>
      <c r="G9" s="44">
        <f t="shared" si="0"/>
        <v>7689439.8676661933</v>
      </c>
      <c r="H9" s="44">
        <f t="shared" si="2"/>
        <v>21145959636.082031</v>
      </c>
    </row>
    <row r="10" spans="1:8" ht="15" x14ac:dyDescent="0.2">
      <c r="A10" s="256"/>
      <c r="B10" s="34" t="s">
        <v>146</v>
      </c>
      <c r="C10" s="35"/>
      <c r="D10" s="66"/>
      <c r="E10" s="66"/>
      <c r="F10" s="35">
        <f t="shared" si="1"/>
        <v>2750</v>
      </c>
      <c r="G10" s="44">
        <f t="shared" si="0"/>
        <v>7689439.8676661933</v>
      </c>
      <c r="H10" s="44">
        <f t="shared" si="2"/>
        <v>21145959636.082031</v>
      </c>
    </row>
    <row r="11" spans="1:8" ht="15" x14ac:dyDescent="0.2">
      <c r="A11" s="256"/>
      <c r="B11" s="34" t="s">
        <v>147</v>
      </c>
      <c r="C11" s="35"/>
      <c r="D11" s="66"/>
      <c r="E11" s="66"/>
      <c r="F11" s="35">
        <f t="shared" si="1"/>
        <v>2750</v>
      </c>
      <c r="G11" s="44">
        <f t="shared" si="0"/>
        <v>7689439.8676661933</v>
      </c>
      <c r="H11" s="44">
        <f t="shared" si="2"/>
        <v>21145959636.082031</v>
      </c>
    </row>
    <row r="12" spans="1:8" ht="15" x14ac:dyDescent="0.2">
      <c r="A12" s="256"/>
      <c r="B12" s="34" t="s">
        <v>148</v>
      </c>
      <c r="C12" s="35"/>
      <c r="D12" s="66"/>
      <c r="E12" s="66"/>
      <c r="F12" s="35">
        <f t="shared" si="1"/>
        <v>2750</v>
      </c>
      <c r="G12" s="44">
        <f t="shared" ref="G12:G17" si="3">IF(F12=0,0,H12/F12)</f>
        <v>7689439.8676661933</v>
      </c>
      <c r="H12" s="44">
        <f t="shared" si="2"/>
        <v>21145959636.082031</v>
      </c>
    </row>
    <row r="13" spans="1:8" ht="15" x14ac:dyDescent="0.2">
      <c r="A13" s="256"/>
      <c r="B13" s="34" t="s">
        <v>149</v>
      </c>
      <c r="C13" s="35"/>
      <c r="D13" s="66"/>
      <c r="E13" s="66"/>
      <c r="F13" s="35">
        <f t="shared" si="1"/>
        <v>2750</v>
      </c>
      <c r="G13" s="44">
        <f t="shared" si="3"/>
        <v>7689439.8676661933</v>
      </c>
      <c r="H13" s="44">
        <f t="shared" si="2"/>
        <v>21145959636.082031</v>
      </c>
    </row>
    <row r="14" spans="1:8" ht="15" x14ac:dyDescent="0.2">
      <c r="A14" s="256"/>
      <c r="B14" s="34" t="s">
        <v>150</v>
      </c>
      <c r="C14" s="35"/>
      <c r="D14" s="66"/>
      <c r="E14" s="66"/>
      <c r="F14" s="35">
        <f t="shared" si="1"/>
        <v>2750</v>
      </c>
      <c r="G14" s="44">
        <f t="shared" si="3"/>
        <v>7689439.8676661933</v>
      </c>
      <c r="H14" s="44">
        <f t="shared" si="2"/>
        <v>21145959636.082031</v>
      </c>
    </row>
    <row r="15" spans="1:8" ht="15" x14ac:dyDescent="0.2">
      <c r="A15" s="256"/>
      <c r="B15" s="34" t="s">
        <v>151</v>
      </c>
      <c r="C15" s="35"/>
      <c r="D15" s="66"/>
      <c r="E15" s="66"/>
      <c r="F15" s="35">
        <f>F14+C15</f>
        <v>2750</v>
      </c>
      <c r="G15" s="44">
        <f t="shared" si="3"/>
        <v>7689439.8676661933</v>
      </c>
      <c r="H15" s="44">
        <f>H14+E15</f>
        <v>21145959636.082031</v>
      </c>
    </row>
    <row r="16" spans="1:8" ht="15" x14ac:dyDescent="0.2">
      <c r="A16" s="256"/>
      <c r="B16" s="34" t="s">
        <v>152</v>
      </c>
      <c r="C16" s="35"/>
      <c r="D16" s="66"/>
      <c r="E16" s="66"/>
      <c r="F16" s="35">
        <f>F15+C16</f>
        <v>2750</v>
      </c>
      <c r="G16" s="44">
        <f t="shared" si="3"/>
        <v>7689439.8676661933</v>
      </c>
      <c r="H16" s="44">
        <f>H15+E16</f>
        <v>21145959636.082031</v>
      </c>
    </row>
    <row r="17" spans="1:8" ht="15" x14ac:dyDescent="0.2">
      <c r="A17" s="256"/>
      <c r="B17" s="34" t="s">
        <v>153</v>
      </c>
      <c r="C17" s="35"/>
      <c r="D17" s="66"/>
      <c r="E17" s="66"/>
      <c r="F17" s="35">
        <f>F16+C17</f>
        <v>2750</v>
      </c>
      <c r="G17" s="44">
        <f t="shared" si="3"/>
        <v>7689439.8676661933</v>
      </c>
      <c r="H17" s="44">
        <f>H16+E17</f>
        <v>21145959636.082031</v>
      </c>
    </row>
    <row r="18" spans="1:8" s="37" customFormat="1" ht="15.75" x14ac:dyDescent="0.2">
      <c r="A18" s="254" t="s">
        <v>154</v>
      </c>
      <c r="B18" s="255"/>
      <c r="C18" s="36">
        <f>SUM(C6:C17)</f>
        <v>2750</v>
      </c>
      <c r="D18" s="45">
        <f>IF(C18=0,0,E18/C18)</f>
        <v>7689439.8676661933</v>
      </c>
      <c r="E18" s="45">
        <f>SUM(E6:E17)</f>
        <v>21145959636.082031</v>
      </c>
      <c r="F18" s="36">
        <f>F17</f>
        <v>2750</v>
      </c>
      <c r="G18" s="45">
        <f t="shared" ref="G18:G24" si="4">IF(F18=0,0,H18/F18)</f>
        <v>7689439.8676661933</v>
      </c>
      <c r="H18" s="45">
        <f>H17</f>
        <v>21145959636.082031</v>
      </c>
    </row>
    <row r="19" spans="1:8" ht="15.75" customHeight="1" x14ac:dyDescent="0.2">
      <c r="A19" s="256" t="s">
        <v>135</v>
      </c>
      <c r="B19" s="34" t="s">
        <v>142</v>
      </c>
      <c r="C19" s="35">
        <v>146</v>
      </c>
      <c r="D19" s="66">
        <f>+E19/C19</f>
        <v>8104416.2836301373</v>
      </c>
      <c r="E19" s="66">
        <v>1183244777.4100001</v>
      </c>
      <c r="F19" s="35">
        <f>C19</f>
        <v>146</v>
      </c>
      <c r="G19" s="44">
        <f t="shared" si="4"/>
        <v>8104416.2836301373</v>
      </c>
      <c r="H19" s="44">
        <f>E19</f>
        <v>1183244777.4100001</v>
      </c>
    </row>
    <row r="20" spans="1:8" ht="15" x14ac:dyDescent="0.2">
      <c r="A20" s="256"/>
      <c r="B20" s="34" t="s">
        <v>143</v>
      </c>
      <c r="C20" s="35">
        <v>350</v>
      </c>
      <c r="D20" s="66">
        <f>+E20/C20</f>
        <v>15188015.9012</v>
      </c>
      <c r="E20" s="66">
        <v>5315805565.4200001</v>
      </c>
      <c r="F20" s="35">
        <f t="shared" ref="F20:F27" si="5">F19+C20</f>
        <v>496</v>
      </c>
      <c r="G20" s="44">
        <f t="shared" si="4"/>
        <v>13102924.07828629</v>
      </c>
      <c r="H20" s="44">
        <f t="shared" ref="H20:H27" si="6">H19+E20</f>
        <v>6499050342.8299999</v>
      </c>
    </row>
    <row r="21" spans="1:8" ht="15" x14ac:dyDescent="0.2">
      <c r="A21" s="256"/>
      <c r="B21" s="34" t="s">
        <v>144</v>
      </c>
      <c r="C21" s="35">
        <v>629</v>
      </c>
      <c r="D21" s="66">
        <f>+E21/C21</f>
        <v>16281325.179888712</v>
      </c>
      <c r="E21" s="66">
        <v>10240953538.15</v>
      </c>
      <c r="F21" s="35">
        <f t="shared" si="5"/>
        <v>1125</v>
      </c>
      <c r="G21" s="44">
        <f t="shared" si="4"/>
        <v>14880003.449759999</v>
      </c>
      <c r="H21" s="44">
        <f t="shared" si="6"/>
        <v>16740003880.98</v>
      </c>
    </row>
    <row r="22" spans="1:8" ht="15" x14ac:dyDescent="0.2">
      <c r="A22" s="256"/>
      <c r="B22" s="34" t="s">
        <v>145</v>
      </c>
      <c r="C22" s="35"/>
      <c r="D22" s="66"/>
      <c r="E22" s="66"/>
      <c r="F22" s="35">
        <f t="shared" si="5"/>
        <v>1125</v>
      </c>
      <c r="G22" s="44">
        <f t="shared" si="4"/>
        <v>14880003.449759999</v>
      </c>
      <c r="H22" s="44">
        <f t="shared" si="6"/>
        <v>16740003880.98</v>
      </c>
    </row>
    <row r="23" spans="1:8" ht="15" x14ac:dyDescent="0.2">
      <c r="A23" s="256"/>
      <c r="B23" s="34" t="s">
        <v>146</v>
      </c>
      <c r="C23" s="35"/>
      <c r="D23" s="66"/>
      <c r="E23" s="66"/>
      <c r="F23" s="35">
        <f t="shared" si="5"/>
        <v>1125</v>
      </c>
      <c r="G23" s="44">
        <f t="shared" si="4"/>
        <v>14880003.449759999</v>
      </c>
      <c r="H23" s="44">
        <f t="shared" si="6"/>
        <v>16740003880.98</v>
      </c>
    </row>
    <row r="24" spans="1:8" ht="15" x14ac:dyDescent="0.2">
      <c r="A24" s="256"/>
      <c r="B24" s="34" t="s">
        <v>147</v>
      </c>
      <c r="C24" s="35"/>
      <c r="D24" s="66"/>
      <c r="E24" s="66"/>
      <c r="F24" s="35">
        <f t="shared" si="5"/>
        <v>1125</v>
      </c>
      <c r="G24" s="44">
        <f t="shared" si="4"/>
        <v>14880003.449759999</v>
      </c>
      <c r="H24" s="44">
        <f t="shared" si="6"/>
        <v>16740003880.98</v>
      </c>
    </row>
    <row r="25" spans="1:8" ht="15" x14ac:dyDescent="0.2">
      <c r="A25" s="256"/>
      <c r="B25" s="34" t="s">
        <v>148</v>
      </c>
      <c r="C25" s="35"/>
      <c r="D25" s="66"/>
      <c r="E25" s="66"/>
      <c r="F25" s="35">
        <f t="shared" si="5"/>
        <v>1125</v>
      </c>
      <c r="G25" s="44">
        <f t="shared" ref="G25:G31" si="7">IF(F25=0,0,H25/F25)</f>
        <v>14880003.449759999</v>
      </c>
      <c r="H25" s="44">
        <f t="shared" si="6"/>
        <v>16740003880.98</v>
      </c>
    </row>
    <row r="26" spans="1:8" ht="15" x14ac:dyDescent="0.2">
      <c r="A26" s="256"/>
      <c r="B26" s="34" t="s">
        <v>149</v>
      </c>
      <c r="C26" s="35"/>
      <c r="D26" s="66"/>
      <c r="E26" s="66"/>
      <c r="F26" s="35">
        <f t="shared" si="5"/>
        <v>1125</v>
      </c>
      <c r="G26" s="44">
        <f t="shared" si="7"/>
        <v>14880003.449759999</v>
      </c>
      <c r="H26" s="44">
        <f t="shared" si="6"/>
        <v>16740003880.98</v>
      </c>
    </row>
    <row r="27" spans="1:8" ht="15" x14ac:dyDescent="0.2">
      <c r="A27" s="256"/>
      <c r="B27" s="34" t="s">
        <v>150</v>
      </c>
      <c r="C27" s="35"/>
      <c r="D27" s="66"/>
      <c r="E27" s="66"/>
      <c r="F27" s="35">
        <f t="shared" si="5"/>
        <v>1125</v>
      </c>
      <c r="G27" s="44">
        <f t="shared" si="7"/>
        <v>14880003.449759999</v>
      </c>
      <c r="H27" s="44">
        <f t="shared" si="6"/>
        <v>16740003880.98</v>
      </c>
    </row>
    <row r="28" spans="1:8" ht="15" x14ac:dyDescent="0.2">
      <c r="A28" s="256"/>
      <c r="B28" s="34" t="s">
        <v>151</v>
      </c>
      <c r="C28" s="35"/>
      <c r="D28" s="66"/>
      <c r="E28" s="66"/>
      <c r="F28" s="35">
        <f>F27+C28</f>
        <v>1125</v>
      </c>
      <c r="G28" s="44">
        <f t="shared" si="7"/>
        <v>14880003.449759999</v>
      </c>
      <c r="H28" s="44">
        <f>H27+E28</f>
        <v>16740003880.98</v>
      </c>
    </row>
    <row r="29" spans="1:8" ht="15" x14ac:dyDescent="0.2">
      <c r="A29" s="256"/>
      <c r="B29" s="34" t="s">
        <v>152</v>
      </c>
      <c r="C29" s="35"/>
      <c r="D29" s="66"/>
      <c r="E29" s="66"/>
      <c r="F29" s="35">
        <f>F28+C29</f>
        <v>1125</v>
      </c>
      <c r="G29" s="44">
        <f t="shared" si="7"/>
        <v>14880003.449759999</v>
      </c>
      <c r="H29" s="44">
        <f>H28+E29</f>
        <v>16740003880.98</v>
      </c>
    </row>
    <row r="30" spans="1:8" ht="15" x14ac:dyDescent="0.2">
      <c r="A30" s="256"/>
      <c r="B30" s="34" t="s">
        <v>153</v>
      </c>
      <c r="C30" s="35"/>
      <c r="D30" s="66"/>
      <c r="E30" s="66"/>
      <c r="F30" s="35">
        <f>F29+C30</f>
        <v>1125</v>
      </c>
      <c r="G30" s="44">
        <f t="shared" si="7"/>
        <v>14880003.449759999</v>
      </c>
      <c r="H30" s="44">
        <f>H29+E30</f>
        <v>16740003880.98</v>
      </c>
    </row>
    <row r="31" spans="1:8" s="37" customFormat="1" ht="15.75" x14ac:dyDescent="0.2">
      <c r="A31" s="254" t="s">
        <v>155</v>
      </c>
      <c r="B31" s="255"/>
      <c r="C31" s="36">
        <f>SUM(C19:C30)</f>
        <v>1125</v>
      </c>
      <c r="D31" s="45">
        <f>IF(C31=0,0,E31/C31)</f>
        <v>14880003.449759999</v>
      </c>
      <c r="E31" s="45">
        <f>SUM(E19:E30)</f>
        <v>16740003880.98</v>
      </c>
      <c r="F31" s="36">
        <f>F30</f>
        <v>1125</v>
      </c>
      <c r="G31" s="45">
        <f t="shared" si="7"/>
        <v>14880003.449759999</v>
      </c>
      <c r="H31" s="45">
        <f>H30</f>
        <v>16740003880.98</v>
      </c>
    </row>
    <row r="32" spans="1:8" ht="15.75" customHeight="1" x14ac:dyDescent="0.2">
      <c r="A32" s="256" t="s">
        <v>136</v>
      </c>
      <c r="B32" s="34" t="s">
        <v>142</v>
      </c>
      <c r="C32" s="35">
        <v>100</v>
      </c>
      <c r="D32" s="66">
        <f>+E32/C32</f>
        <v>6954494.2935000006</v>
      </c>
      <c r="E32" s="66">
        <v>695449429.35000002</v>
      </c>
      <c r="F32" s="35">
        <f>C32</f>
        <v>100</v>
      </c>
      <c r="G32" s="44">
        <f t="shared" ref="G32:G37" si="8">IF(F32=0,0,H32/F32)</f>
        <v>6954494.2935000006</v>
      </c>
      <c r="H32" s="44">
        <f>E32</f>
        <v>695449429.35000002</v>
      </c>
    </row>
    <row r="33" spans="1:8" ht="15" x14ac:dyDescent="0.2">
      <c r="A33" s="256"/>
      <c r="B33" s="34" t="s">
        <v>143</v>
      </c>
      <c r="C33" s="35">
        <v>159</v>
      </c>
      <c r="D33" s="66">
        <f>+E33/C33</f>
        <v>13386244.984402515</v>
      </c>
      <c r="E33" s="66">
        <v>2128412952.52</v>
      </c>
      <c r="F33" s="35">
        <f t="shared" ref="F33:F40" si="9">F32+C33</f>
        <v>259</v>
      </c>
      <c r="G33" s="44">
        <f t="shared" si="8"/>
        <v>10902943.559343629</v>
      </c>
      <c r="H33" s="44">
        <f t="shared" ref="H33:H40" si="10">H32+E33</f>
        <v>2823862381.8699999</v>
      </c>
    </row>
    <row r="34" spans="1:8" ht="15" x14ac:dyDescent="0.2">
      <c r="A34" s="256"/>
      <c r="B34" s="34" t="s">
        <v>144</v>
      </c>
      <c r="C34" s="35">
        <v>355</v>
      </c>
      <c r="D34" s="66">
        <f>+E34/C34</f>
        <v>12788808.601774648</v>
      </c>
      <c r="E34" s="66">
        <v>4540027053.6300001</v>
      </c>
      <c r="F34" s="35">
        <f t="shared" si="9"/>
        <v>614</v>
      </c>
      <c r="G34" s="44">
        <f t="shared" si="8"/>
        <v>11993305.269543974</v>
      </c>
      <c r="H34" s="44">
        <f t="shared" si="10"/>
        <v>7363889435.5</v>
      </c>
    </row>
    <row r="35" spans="1:8" ht="15" x14ac:dyDescent="0.2">
      <c r="A35" s="256"/>
      <c r="B35" s="34" t="s">
        <v>145</v>
      </c>
      <c r="C35" s="35"/>
      <c r="D35" s="66"/>
      <c r="E35" s="66"/>
      <c r="F35" s="35">
        <f t="shared" si="9"/>
        <v>614</v>
      </c>
      <c r="G35" s="44">
        <f t="shared" si="8"/>
        <v>11993305.269543974</v>
      </c>
      <c r="H35" s="44">
        <f t="shared" si="10"/>
        <v>7363889435.5</v>
      </c>
    </row>
    <row r="36" spans="1:8" ht="15" x14ac:dyDescent="0.2">
      <c r="A36" s="256"/>
      <c r="B36" s="34" t="s">
        <v>146</v>
      </c>
      <c r="C36" s="35"/>
      <c r="D36" s="66"/>
      <c r="E36" s="66"/>
      <c r="F36" s="35">
        <f t="shared" si="9"/>
        <v>614</v>
      </c>
      <c r="G36" s="44">
        <f t="shared" si="8"/>
        <v>11993305.269543974</v>
      </c>
      <c r="H36" s="44">
        <f t="shared" si="10"/>
        <v>7363889435.5</v>
      </c>
    </row>
    <row r="37" spans="1:8" ht="15" x14ac:dyDescent="0.2">
      <c r="A37" s="256"/>
      <c r="B37" s="34" t="s">
        <v>147</v>
      </c>
      <c r="C37" s="35"/>
      <c r="D37" s="66"/>
      <c r="E37" s="66"/>
      <c r="F37" s="35">
        <f t="shared" si="9"/>
        <v>614</v>
      </c>
      <c r="G37" s="44">
        <f t="shared" si="8"/>
        <v>11993305.269543974</v>
      </c>
      <c r="H37" s="44">
        <f t="shared" si="10"/>
        <v>7363889435.5</v>
      </c>
    </row>
    <row r="38" spans="1:8" ht="15" x14ac:dyDescent="0.2">
      <c r="A38" s="256"/>
      <c r="B38" s="34" t="s">
        <v>148</v>
      </c>
      <c r="C38" s="35"/>
      <c r="D38" s="66"/>
      <c r="E38" s="66"/>
      <c r="F38" s="35">
        <f t="shared" si="9"/>
        <v>614</v>
      </c>
      <c r="G38" s="44">
        <f t="shared" ref="G38:G44" si="11">IF(F38=0,0,H38/F38)</f>
        <v>11993305.269543974</v>
      </c>
      <c r="H38" s="44">
        <f t="shared" si="10"/>
        <v>7363889435.5</v>
      </c>
    </row>
    <row r="39" spans="1:8" ht="15" x14ac:dyDescent="0.2">
      <c r="A39" s="256"/>
      <c r="B39" s="34" t="s">
        <v>149</v>
      </c>
      <c r="C39" s="35"/>
      <c r="D39" s="66"/>
      <c r="E39" s="66"/>
      <c r="F39" s="35">
        <f t="shared" si="9"/>
        <v>614</v>
      </c>
      <c r="G39" s="44">
        <f t="shared" si="11"/>
        <v>11993305.269543974</v>
      </c>
      <c r="H39" s="44">
        <f t="shared" si="10"/>
        <v>7363889435.5</v>
      </c>
    </row>
    <row r="40" spans="1:8" ht="15" x14ac:dyDescent="0.2">
      <c r="A40" s="256"/>
      <c r="B40" s="34" t="s">
        <v>150</v>
      </c>
      <c r="C40" s="35"/>
      <c r="D40" s="66"/>
      <c r="E40" s="66"/>
      <c r="F40" s="35">
        <f t="shared" si="9"/>
        <v>614</v>
      </c>
      <c r="G40" s="44">
        <f t="shared" si="11"/>
        <v>11993305.269543974</v>
      </c>
      <c r="H40" s="44">
        <f t="shared" si="10"/>
        <v>7363889435.5</v>
      </c>
    </row>
    <row r="41" spans="1:8" ht="15" x14ac:dyDescent="0.2">
      <c r="A41" s="256"/>
      <c r="B41" s="34" t="s">
        <v>151</v>
      </c>
      <c r="C41" s="35"/>
      <c r="D41" s="66"/>
      <c r="E41" s="66"/>
      <c r="F41" s="35">
        <f>F40+C41</f>
        <v>614</v>
      </c>
      <c r="G41" s="44">
        <f t="shared" si="11"/>
        <v>11993305.269543974</v>
      </c>
      <c r="H41" s="44">
        <f>H40+E41</f>
        <v>7363889435.5</v>
      </c>
    </row>
    <row r="42" spans="1:8" ht="15" x14ac:dyDescent="0.2">
      <c r="A42" s="256"/>
      <c r="B42" s="34" t="s">
        <v>152</v>
      </c>
      <c r="C42" s="35"/>
      <c r="D42" s="66"/>
      <c r="E42" s="66"/>
      <c r="F42" s="35">
        <f>F41+C42</f>
        <v>614</v>
      </c>
      <c r="G42" s="44">
        <f t="shared" si="11"/>
        <v>11993305.269543974</v>
      </c>
      <c r="H42" s="44">
        <f>H41+E42</f>
        <v>7363889435.5</v>
      </c>
    </row>
    <row r="43" spans="1:8" ht="15" x14ac:dyDescent="0.2">
      <c r="A43" s="256"/>
      <c r="B43" s="34" t="s">
        <v>153</v>
      </c>
      <c r="C43" s="35"/>
      <c r="D43" s="66"/>
      <c r="E43" s="66"/>
      <c r="F43" s="35">
        <f>F42+C43</f>
        <v>614</v>
      </c>
      <c r="G43" s="44">
        <f t="shared" si="11"/>
        <v>11993305.269543974</v>
      </c>
      <c r="H43" s="44">
        <f>H42+E43</f>
        <v>7363889435.5</v>
      </c>
    </row>
    <row r="44" spans="1:8" s="37" customFormat="1" ht="15.75" x14ac:dyDescent="0.2">
      <c r="A44" s="254" t="s">
        <v>156</v>
      </c>
      <c r="B44" s="255"/>
      <c r="C44" s="36">
        <f>SUM(C32:C43)</f>
        <v>614</v>
      </c>
      <c r="D44" s="45">
        <f>IF(C44=0,0,E44/C44)</f>
        <v>11993305.269543974</v>
      </c>
      <c r="E44" s="45">
        <f>SUM(E32:E43)</f>
        <v>7363889435.5</v>
      </c>
      <c r="F44" s="36">
        <f>F43</f>
        <v>614</v>
      </c>
      <c r="G44" s="45">
        <f t="shared" si="11"/>
        <v>11993305.269543974</v>
      </c>
      <c r="H44" s="45">
        <f>H43</f>
        <v>7363889435.5</v>
      </c>
    </row>
    <row r="45" spans="1:8" ht="15.75" customHeight="1" x14ac:dyDescent="0.2">
      <c r="A45" s="256" t="s">
        <v>157</v>
      </c>
      <c r="B45" s="34" t="s">
        <v>142</v>
      </c>
      <c r="C45" s="35">
        <v>54</v>
      </c>
      <c r="D45" s="66">
        <f>+E45/C45</f>
        <v>6932277.777777778</v>
      </c>
      <c r="E45" s="66">
        <v>374343000</v>
      </c>
      <c r="F45" s="35">
        <f>C45</f>
        <v>54</v>
      </c>
      <c r="G45" s="44">
        <f t="shared" ref="G45:G50" si="12">IF(F45=0,0,H45/F45)</f>
        <v>6932277.777777778</v>
      </c>
      <c r="H45" s="44">
        <f>E45</f>
        <v>374343000</v>
      </c>
    </row>
    <row r="46" spans="1:8" ht="15" x14ac:dyDescent="0.2">
      <c r="A46" s="256"/>
      <c r="B46" s="34" t="s">
        <v>143</v>
      </c>
      <c r="C46" s="35">
        <v>80</v>
      </c>
      <c r="D46" s="66">
        <f>+E46/C46</f>
        <v>7001000</v>
      </c>
      <c r="E46" s="66">
        <v>560080000</v>
      </c>
      <c r="F46" s="35">
        <f t="shared" ref="F46:F53" si="13">F45+C46</f>
        <v>134</v>
      </c>
      <c r="G46" s="44">
        <f t="shared" si="12"/>
        <v>6973305.9701492535</v>
      </c>
      <c r="H46" s="44">
        <f t="shared" ref="H46:H53" si="14">H45+E46</f>
        <v>934423000</v>
      </c>
    </row>
    <row r="47" spans="1:8" ht="15" x14ac:dyDescent="0.2">
      <c r="A47" s="256"/>
      <c r="B47" s="34" t="s">
        <v>144</v>
      </c>
      <c r="C47" s="35">
        <v>158</v>
      </c>
      <c r="D47" s="66">
        <f>+E47/C47</f>
        <v>6904196.202531646</v>
      </c>
      <c r="E47" s="66">
        <v>1090863000</v>
      </c>
      <c r="F47" s="35">
        <f t="shared" si="13"/>
        <v>292</v>
      </c>
      <c r="G47" s="44">
        <f t="shared" si="12"/>
        <v>6935910.9589041099</v>
      </c>
      <c r="H47" s="44">
        <f t="shared" si="14"/>
        <v>2025286000</v>
      </c>
    </row>
    <row r="48" spans="1:8" ht="15" x14ac:dyDescent="0.2">
      <c r="A48" s="256"/>
      <c r="B48" s="34" t="s">
        <v>145</v>
      </c>
      <c r="C48" s="35"/>
      <c r="D48" s="66"/>
      <c r="E48" s="66"/>
      <c r="F48" s="35">
        <f t="shared" si="13"/>
        <v>292</v>
      </c>
      <c r="G48" s="44">
        <f t="shared" si="12"/>
        <v>6935910.9589041099</v>
      </c>
      <c r="H48" s="44">
        <f t="shared" si="14"/>
        <v>2025286000</v>
      </c>
    </row>
    <row r="49" spans="1:8" ht="15" x14ac:dyDescent="0.2">
      <c r="A49" s="256"/>
      <c r="B49" s="34" t="s">
        <v>146</v>
      </c>
      <c r="C49" s="35"/>
      <c r="D49" s="66"/>
      <c r="E49" s="66"/>
      <c r="F49" s="35">
        <f t="shared" si="13"/>
        <v>292</v>
      </c>
      <c r="G49" s="44">
        <f t="shared" si="12"/>
        <v>6935910.9589041099</v>
      </c>
      <c r="H49" s="44">
        <f t="shared" si="14"/>
        <v>2025286000</v>
      </c>
    </row>
    <row r="50" spans="1:8" ht="15" x14ac:dyDescent="0.2">
      <c r="A50" s="256"/>
      <c r="B50" s="34" t="s">
        <v>147</v>
      </c>
      <c r="C50" s="35"/>
      <c r="D50" s="66"/>
      <c r="E50" s="66"/>
      <c r="F50" s="35">
        <f t="shared" si="13"/>
        <v>292</v>
      </c>
      <c r="G50" s="44">
        <f t="shared" si="12"/>
        <v>6935910.9589041099</v>
      </c>
      <c r="H50" s="44">
        <f t="shared" si="14"/>
        <v>2025286000</v>
      </c>
    </row>
    <row r="51" spans="1:8" ht="15" x14ac:dyDescent="0.2">
      <c r="A51" s="256"/>
      <c r="B51" s="34" t="s">
        <v>148</v>
      </c>
      <c r="C51" s="35"/>
      <c r="D51" s="66"/>
      <c r="E51" s="66"/>
      <c r="F51" s="35">
        <f t="shared" si="13"/>
        <v>292</v>
      </c>
      <c r="G51" s="44">
        <f t="shared" ref="G51:G58" si="15">IF(F51=0,0,H51/F51)</f>
        <v>6935910.9589041099</v>
      </c>
      <c r="H51" s="44">
        <f t="shared" si="14"/>
        <v>2025286000</v>
      </c>
    </row>
    <row r="52" spans="1:8" ht="15" x14ac:dyDescent="0.2">
      <c r="A52" s="256"/>
      <c r="B52" s="34" t="s">
        <v>149</v>
      </c>
      <c r="C52" s="35"/>
      <c r="D52" s="66"/>
      <c r="E52" s="66"/>
      <c r="F52" s="35">
        <f t="shared" si="13"/>
        <v>292</v>
      </c>
      <c r="G52" s="44">
        <f t="shared" si="15"/>
        <v>6935910.9589041099</v>
      </c>
      <c r="H52" s="44">
        <f t="shared" si="14"/>
        <v>2025286000</v>
      </c>
    </row>
    <row r="53" spans="1:8" ht="15" x14ac:dyDescent="0.2">
      <c r="A53" s="256"/>
      <c r="B53" s="34" t="s">
        <v>150</v>
      </c>
      <c r="C53" s="35"/>
      <c r="D53" s="66"/>
      <c r="E53" s="66"/>
      <c r="F53" s="35">
        <f t="shared" si="13"/>
        <v>292</v>
      </c>
      <c r="G53" s="44">
        <f t="shared" si="15"/>
        <v>6935910.9589041099</v>
      </c>
      <c r="H53" s="44">
        <f t="shared" si="14"/>
        <v>2025286000</v>
      </c>
    </row>
    <row r="54" spans="1:8" ht="15" x14ac:dyDescent="0.2">
      <c r="A54" s="256"/>
      <c r="B54" s="34" t="s">
        <v>151</v>
      </c>
      <c r="C54" s="35"/>
      <c r="D54" s="66"/>
      <c r="E54" s="66"/>
      <c r="F54" s="35">
        <f>F53+C54</f>
        <v>292</v>
      </c>
      <c r="G54" s="44">
        <f t="shared" si="15"/>
        <v>6935910.9589041099</v>
      </c>
      <c r="H54" s="44">
        <f>H53+E54</f>
        <v>2025286000</v>
      </c>
    </row>
    <row r="55" spans="1:8" ht="15" x14ac:dyDescent="0.2">
      <c r="A55" s="256"/>
      <c r="B55" s="34" t="s">
        <v>152</v>
      </c>
      <c r="C55" s="35"/>
      <c r="D55" s="66"/>
      <c r="E55" s="66"/>
      <c r="F55" s="35">
        <f>F54+C55</f>
        <v>292</v>
      </c>
      <c r="G55" s="44">
        <f t="shared" si="15"/>
        <v>6935910.9589041099</v>
      </c>
      <c r="H55" s="44">
        <f>H54+E55</f>
        <v>2025286000</v>
      </c>
    </row>
    <row r="56" spans="1:8" ht="15" x14ac:dyDescent="0.2">
      <c r="A56" s="256"/>
      <c r="B56" s="34" t="s">
        <v>153</v>
      </c>
      <c r="C56" s="35"/>
      <c r="D56" s="66"/>
      <c r="E56" s="66"/>
      <c r="F56" s="35">
        <f>F55+C56</f>
        <v>292</v>
      </c>
      <c r="G56" s="44">
        <f t="shared" si="15"/>
        <v>6935910.9589041099</v>
      </c>
      <c r="H56" s="44">
        <f>H55+E56</f>
        <v>2025286000</v>
      </c>
    </row>
    <row r="57" spans="1:8" s="37" customFormat="1" ht="15.75" x14ac:dyDescent="0.2">
      <c r="A57" s="254" t="s">
        <v>158</v>
      </c>
      <c r="B57" s="255"/>
      <c r="C57" s="36">
        <f>SUM(C45:C56)</f>
        <v>292</v>
      </c>
      <c r="D57" s="45">
        <f>IF(C57=0,0,E57/C57)</f>
        <v>6935910.9589041099</v>
      </c>
      <c r="E57" s="45">
        <f>SUM(E45:E56)</f>
        <v>2025286000</v>
      </c>
      <c r="F57" s="36">
        <f>F56</f>
        <v>292</v>
      </c>
      <c r="G57" s="45">
        <f t="shared" si="15"/>
        <v>6935910.9589041099</v>
      </c>
      <c r="H57" s="45">
        <f>H56</f>
        <v>2025286000</v>
      </c>
    </row>
    <row r="58" spans="1:8" s="37" customFormat="1" ht="15.75" customHeight="1" x14ac:dyDescent="0.2">
      <c r="A58" s="254" t="s">
        <v>96</v>
      </c>
      <c r="B58" s="255"/>
      <c r="C58" s="36">
        <f>C18+C31+C44+C57</f>
        <v>4781</v>
      </c>
      <c r="D58" s="45">
        <f>IF(C58=0,0,E58/C58)</f>
        <v>9888127.7876097113</v>
      </c>
      <c r="E58" s="45">
        <f>E18+E31+E44+E57</f>
        <v>47275138952.562027</v>
      </c>
      <c r="F58" s="36">
        <f>F18+F31+F44+F57</f>
        <v>4781</v>
      </c>
      <c r="G58" s="45">
        <f t="shared" si="15"/>
        <v>9888127.7876097113</v>
      </c>
      <c r="H58" s="45">
        <f>H18+H31+H44+H57</f>
        <v>47275138952.562027</v>
      </c>
    </row>
    <row r="59" spans="1:8" x14ac:dyDescent="0.2">
      <c r="A59" s="38"/>
      <c r="B59" s="38"/>
      <c r="C59" s="60"/>
      <c r="D59" s="60"/>
      <c r="E59" s="60"/>
      <c r="G59" s="38"/>
    </row>
    <row r="60" spans="1:8" x14ac:dyDescent="0.2">
      <c r="A60" s="38"/>
      <c r="B60" s="38"/>
      <c r="C60" s="39"/>
      <c r="D60" s="39"/>
      <c r="E60" s="38"/>
      <c r="F60" s="38"/>
      <c r="G60" s="38"/>
      <c r="H60" s="38"/>
    </row>
    <row r="61" spans="1:8" x14ac:dyDescent="0.2">
      <c r="A61" s="38"/>
      <c r="B61" s="38"/>
      <c r="C61" s="39"/>
      <c r="D61" s="39"/>
      <c r="E61" s="38"/>
      <c r="F61" s="38"/>
      <c r="G61" s="38"/>
      <c r="H61" s="38"/>
    </row>
    <row r="62" spans="1:8" x14ac:dyDescent="0.2">
      <c r="A62" s="38"/>
      <c r="B62" s="38"/>
      <c r="C62" s="39"/>
      <c r="D62" s="39"/>
      <c r="E62" s="38"/>
      <c r="F62" s="38"/>
      <c r="G62" s="38"/>
      <c r="H62" s="38"/>
    </row>
    <row r="63" spans="1:8" x14ac:dyDescent="0.2">
      <c r="A63" s="38"/>
      <c r="B63" s="38"/>
      <c r="C63" s="39"/>
      <c r="D63" s="39"/>
      <c r="E63" s="38"/>
      <c r="F63" s="38"/>
      <c r="G63" s="38"/>
      <c r="H63" s="38"/>
    </row>
    <row r="64" spans="1:8" x14ac:dyDescent="0.2">
      <c r="A64" s="38"/>
      <c r="B64" s="38"/>
      <c r="C64" s="39"/>
      <c r="D64" s="39"/>
      <c r="E64" s="38"/>
      <c r="F64" s="38"/>
      <c r="G64" s="38"/>
      <c r="H64" s="38"/>
    </row>
    <row r="65" spans="1:8" x14ac:dyDescent="0.2">
      <c r="A65" s="38"/>
      <c r="B65" s="38"/>
      <c r="C65" s="39"/>
      <c r="D65" s="39"/>
      <c r="E65" s="38"/>
      <c r="F65" s="38"/>
      <c r="G65" s="38"/>
      <c r="H65" s="38"/>
    </row>
    <row r="66" spans="1:8" x14ac:dyDescent="0.2">
      <c r="A66" s="38"/>
      <c r="B66" s="38"/>
      <c r="C66" s="39"/>
      <c r="D66" s="39"/>
      <c r="E66" s="38"/>
      <c r="F66" s="38"/>
      <c r="G66" s="38"/>
      <c r="H66" s="38"/>
    </row>
    <row r="67" spans="1:8" x14ac:dyDescent="0.2">
      <c r="A67" s="38"/>
      <c r="B67" s="38"/>
      <c r="C67" s="39"/>
      <c r="D67" s="39"/>
      <c r="E67" s="38"/>
      <c r="F67" s="38"/>
      <c r="G67" s="38"/>
      <c r="H67" s="38"/>
    </row>
    <row r="68" spans="1:8" x14ac:dyDescent="0.2">
      <c r="A68" s="38"/>
      <c r="B68" s="38"/>
      <c r="C68" s="39"/>
      <c r="D68" s="39"/>
      <c r="E68" s="38"/>
      <c r="F68" s="38"/>
      <c r="G68" s="38"/>
      <c r="H68" s="38"/>
    </row>
    <row r="69" spans="1:8" x14ac:dyDescent="0.2">
      <c r="A69" s="38"/>
      <c r="B69" s="38"/>
      <c r="C69" s="39"/>
      <c r="D69" s="39"/>
      <c r="E69" s="38"/>
      <c r="F69" s="38"/>
      <c r="G69" s="38"/>
      <c r="H69" s="38"/>
    </row>
    <row r="70" spans="1:8" x14ac:dyDescent="0.2">
      <c r="A70" s="38"/>
      <c r="B70" s="38"/>
      <c r="C70" s="39"/>
      <c r="D70" s="39"/>
      <c r="E70" s="38"/>
      <c r="F70" s="38"/>
      <c r="G70" s="38"/>
      <c r="H70" s="38"/>
    </row>
    <row r="71" spans="1:8" x14ac:dyDescent="0.2">
      <c r="A71" s="38"/>
      <c r="B71" s="38"/>
      <c r="C71" s="39"/>
      <c r="D71" s="39"/>
      <c r="E71" s="38"/>
      <c r="F71" s="38"/>
      <c r="G71" s="38"/>
      <c r="H71" s="38"/>
    </row>
    <row r="72" spans="1:8" x14ac:dyDescent="0.2">
      <c r="A72" s="38"/>
      <c r="B72" s="38"/>
      <c r="C72" s="39"/>
      <c r="D72" s="39"/>
      <c r="E72" s="38"/>
      <c r="F72" s="38"/>
      <c r="G72" s="38"/>
      <c r="H72" s="38"/>
    </row>
    <row r="73" spans="1:8" x14ac:dyDescent="0.2">
      <c r="A73" s="38"/>
      <c r="B73" s="38"/>
      <c r="C73" s="39"/>
      <c r="D73" s="39"/>
      <c r="E73" s="38"/>
      <c r="F73" s="38"/>
      <c r="G73" s="38"/>
      <c r="H73" s="38"/>
    </row>
    <row r="74" spans="1:8" x14ac:dyDescent="0.2">
      <c r="A74" s="38"/>
      <c r="B74" s="38"/>
      <c r="C74" s="39"/>
      <c r="D74" s="39"/>
      <c r="E74" s="38"/>
      <c r="F74" s="38"/>
      <c r="G74" s="38"/>
      <c r="H74" s="38"/>
    </row>
    <row r="75" spans="1:8" x14ac:dyDescent="0.2">
      <c r="A75" s="38"/>
      <c r="B75" s="38"/>
      <c r="C75" s="39"/>
      <c r="D75" s="39"/>
      <c r="E75" s="38"/>
      <c r="F75" s="38"/>
      <c r="G75" s="38"/>
      <c r="H75" s="38"/>
    </row>
    <row r="76" spans="1:8" x14ac:dyDescent="0.2">
      <c r="A76" s="38"/>
      <c r="B76" s="38"/>
      <c r="C76" s="39"/>
      <c r="D76" s="39"/>
      <c r="E76" s="38"/>
      <c r="F76" s="38"/>
      <c r="G76" s="38"/>
      <c r="H76" s="38"/>
    </row>
    <row r="77" spans="1:8" x14ac:dyDescent="0.2">
      <c r="A77" s="38"/>
      <c r="B77" s="38"/>
      <c r="C77" s="39"/>
      <c r="D77" s="39"/>
      <c r="E77" s="38"/>
      <c r="F77" s="38"/>
      <c r="G77" s="38"/>
      <c r="H77" s="38"/>
    </row>
    <row r="78" spans="1:8" x14ac:dyDescent="0.2">
      <c r="A78" s="38"/>
      <c r="B78" s="38"/>
      <c r="C78" s="39"/>
      <c r="D78" s="39"/>
      <c r="E78" s="38"/>
      <c r="F78" s="38"/>
      <c r="G78" s="38"/>
      <c r="H78" s="38"/>
    </row>
    <row r="79" spans="1:8" x14ac:dyDescent="0.2">
      <c r="A79" s="38"/>
      <c r="B79" s="38"/>
      <c r="C79" s="39"/>
      <c r="D79" s="39"/>
      <c r="E79" s="38"/>
      <c r="F79" s="38"/>
      <c r="G79" s="38"/>
      <c r="H79" s="38"/>
    </row>
    <row r="80" spans="1:8" x14ac:dyDescent="0.2">
      <c r="A80" s="38"/>
      <c r="B80" s="38"/>
      <c r="C80" s="39"/>
      <c r="D80" s="39"/>
      <c r="E80" s="38"/>
      <c r="F80" s="38"/>
      <c r="G80" s="38"/>
      <c r="H80" s="38"/>
    </row>
    <row r="81" spans="1:8" x14ac:dyDescent="0.2">
      <c r="A81" s="38"/>
      <c r="B81" s="38"/>
      <c r="C81" s="39"/>
      <c r="D81" s="39"/>
      <c r="E81" s="38"/>
      <c r="F81" s="38"/>
      <c r="G81" s="38"/>
      <c r="H81" s="38"/>
    </row>
    <row r="82" spans="1:8" x14ac:dyDescent="0.2">
      <c r="A82" s="38"/>
      <c r="B82" s="38"/>
      <c r="C82" s="39"/>
      <c r="D82" s="39"/>
      <c r="E82" s="38"/>
      <c r="F82" s="38"/>
      <c r="G82" s="38"/>
      <c r="H82" s="38"/>
    </row>
    <row r="83" spans="1:8" x14ac:dyDescent="0.2">
      <c r="A83" s="38"/>
      <c r="B83" s="38"/>
      <c r="C83" s="39"/>
      <c r="D83" s="39"/>
      <c r="E83" s="38"/>
      <c r="F83" s="38"/>
      <c r="G83" s="38"/>
      <c r="H83" s="38"/>
    </row>
    <row r="84" spans="1:8" x14ac:dyDescent="0.2">
      <c r="A84" s="38"/>
      <c r="B84" s="38"/>
      <c r="C84" s="39"/>
      <c r="D84" s="39"/>
      <c r="E84" s="38"/>
      <c r="F84" s="38"/>
      <c r="G84" s="38"/>
      <c r="H84" s="38"/>
    </row>
    <row r="85" spans="1:8" x14ac:dyDescent="0.2">
      <c r="A85" s="38"/>
      <c r="B85" s="38"/>
      <c r="C85" s="39"/>
      <c r="D85" s="39"/>
      <c r="E85" s="38"/>
      <c r="F85" s="38"/>
      <c r="G85" s="38"/>
      <c r="H85" s="38"/>
    </row>
    <row r="86" spans="1:8" x14ac:dyDescent="0.2">
      <c r="A86" s="38"/>
      <c r="B86" s="38"/>
      <c r="C86" s="39"/>
      <c r="D86" s="39"/>
      <c r="E86" s="38"/>
      <c r="F86" s="38"/>
      <c r="G86" s="38"/>
      <c r="H86" s="38"/>
    </row>
    <row r="87" spans="1:8" x14ac:dyDescent="0.2">
      <c r="A87" s="38"/>
      <c r="B87" s="38"/>
      <c r="C87" s="39"/>
      <c r="D87" s="39"/>
      <c r="E87" s="38"/>
      <c r="F87" s="38"/>
      <c r="G87" s="38"/>
      <c r="H87" s="38"/>
    </row>
    <row r="88" spans="1:8" x14ac:dyDescent="0.2">
      <c r="A88" s="38"/>
      <c r="B88" s="38"/>
      <c r="C88" s="39"/>
      <c r="D88" s="39"/>
      <c r="E88" s="38"/>
      <c r="F88" s="38"/>
      <c r="G88" s="38"/>
      <c r="H88" s="38"/>
    </row>
    <row r="89" spans="1:8" x14ac:dyDescent="0.2">
      <c r="A89" s="38"/>
      <c r="B89" s="38"/>
      <c r="C89" s="39"/>
      <c r="D89" s="39"/>
      <c r="E89" s="38"/>
      <c r="F89" s="38"/>
      <c r="G89" s="38"/>
      <c r="H89" s="38"/>
    </row>
    <row r="90" spans="1:8" x14ac:dyDescent="0.2">
      <c r="A90" s="38"/>
      <c r="B90" s="38"/>
      <c r="C90" s="39"/>
      <c r="D90" s="39"/>
      <c r="E90" s="38"/>
      <c r="F90" s="38"/>
      <c r="G90" s="38"/>
      <c r="H90" s="38"/>
    </row>
    <row r="91" spans="1:8" x14ac:dyDescent="0.2">
      <c r="A91" s="38"/>
      <c r="B91" s="38"/>
      <c r="C91" s="39"/>
      <c r="D91" s="39"/>
      <c r="E91" s="38"/>
      <c r="F91" s="38"/>
      <c r="G91" s="38"/>
      <c r="H91" s="38"/>
    </row>
    <row r="92" spans="1:8" x14ac:dyDescent="0.2">
      <c r="A92" s="38"/>
      <c r="B92" s="38"/>
      <c r="C92" s="39"/>
      <c r="D92" s="39"/>
      <c r="E92" s="38"/>
      <c r="F92" s="38"/>
      <c r="G92" s="38"/>
      <c r="H92" s="38"/>
    </row>
    <row r="93" spans="1:8" x14ac:dyDescent="0.2">
      <c r="A93" s="38"/>
      <c r="B93" s="38"/>
      <c r="C93" s="39"/>
      <c r="D93" s="39"/>
      <c r="E93" s="38"/>
      <c r="F93" s="38"/>
      <c r="G93" s="38"/>
      <c r="H93" s="38"/>
    </row>
    <row r="94" spans="1:8" x14ac:dyDescent="0.2">
      <c r="A94" s="38"/>
      <c r="B94" s="38"/>
      <c r="C94" s="39"/>
      <c r="D94" s="39"/>
      <c r="E94" s="38"/>
      <c r="F94" s="38"/>
      <c r="G94" s="38"/>
      <c r="H94" s="38"/>
    </row>
    <row r="95" spans="1:8" x14ac:dyDescent="0.2">
      <c r="A95" s="38"/>
      <c r="B95" s="38"/>
      <c r="C95" s="39"/>
      <c r="D95" s="39"/>
      <c r="E95" s="38"/>
      <c r="F95" s="38"/>
      <c r="G95" s="38"/>
      <c r="H95" s="38"/>
    </row>
    <row r="96" spans="1:8" x14ac:dyDescent="0.2">
      <c r="A96" s="38"/>
      <c r="B96" s="38"/>
      <c r="C96" s="39"/>
      <c r="D96" s="39"/>
      <c r="E96" s="38"/>
      <c r="F96" s="38"/>
      <c r="G96" s="38"/>
      <c r="H96" s="38"/>
    </row>
    <row r="97" spans="1:8" x14ac:dyDescent="0.2">
      <c r="A97" s="38"/>
      <c r="B97" s="38"/>
      <c r="C97" s="39"/>
      <c r="D97" s="39"/>
      <c r="E97" s="38"/>
      <c r="F97" s="38"/>
      <c r="G97" s="38"/>
      <c r="H97" s="38"/>
    </row>
    <row r="98" spans="1:8" x14ac:dyDescent="0.2">
      <c r="A98" s="38"/>
      <c r="B98" s="38"/>
      <c r="C98" s="39"/>
      <c r="D98" s="39"/>
      <c r="E98" s="38"/>
      <c r="F98" s="38"/>
      <c r="G98" s="38"/>
      <c r="H98" s="38"/>
    </row>
    <row r="99" spans="1:8" x14ac:dyDescent="0.2">
      <c r="A99" s="38"/>
      <c r="B99" s="38"/>
      <c r="C99" s="39"/>
      <c r="D99" s="39"/>
      <c r="E99" s="38"/>
      <c r="F99" s="38"/>
      <c r="G99" s="38"/>
      <c r="H99" s="38"/>
    </row>
    <row r="100" spans="1:8" x14ac:dyDescent="0.2">
      <c r="A100" s="38"/>
      <c r="B100" s="38"/>
      <c r="C100" s="39"/>
      <c r="D100" s="39"/>
      <c r="E100" s="38"/>
      <c r="F100" s="38"/>
      <c r="G100" s="38"/>
      <c r="H100" s="38"/>
    </row>
    <row r="101" spans="1:8" x14ac:dyDescent="0.2">
      <c r="A101" s="38"/>
      <c r="B101" s="38"/>
      <c r="C101" s="39"/>
      <c r="D101" s="39"/>
      <c r="E101" s="38"/>
      <c r="F101" s="38"/>
      <c r="G101" s="38"/>
      <c r="H101" s="38"/>
    </row>
    <row r="102" spans="1:8" x14ac:dyDescent="0.2">
      <c r="A102" s="38"/>
      <c r="B102" s="38"/>
      <c r="C102" s="39"/>
      <c r="D102" s="39"/>
      <c r="E102" s="38"/>
      <c r="F102" s="38"/>
      <c r="G102" s="38"/>
      <c r="H102" s="38"/>
    </row>
    <row r="103" spans="1:8" x14ac:dyDescent="0.2">
      <c r="A103" s="38"/>
      <c r="B103" s="38"/>
      <c r="C103" s="39"/>
      <c r="D103" s="39"/>
      <c r="E103" s="38"/>
      <c r="F103" s="38"/>
      <c r="G103" s="38"/>
      <c r="H103" s="38"/>
    </row>
    <row r="104" spans="1:8" x14ac:dyDescent="0.2">
      <c r="A104" s="38"/>
      <c r="B104" s="38"/>
      <c r="C104" s="39"/>
      <c r="D104" s="39"/>
      <c r="E104" s="38"/>
      <c r="F104" s="38"/>
      <c r="G104" s="38"/>
      <c r="H104" s="38"/>
    </row>
    <row r="105" spans="1:8" x14ac:dyDescent="0.2">
      <c r="A105" s="38"/>
      <c r="B105" s="38"/>
      <c r="C105" s="39"/>
      <c r="D105" s="39"/>
      <c r="E105" s="38"/>
      <c r="F105" s="38"/>
      <c r="G105" s="38"/>
      <c r="H105" s="38"/>
    </row>
    <row r="106" spans="1:8" x14ac:dyDescent="0.2">
      <c r="A106" s="38"/>
      <c r="B106" s="38"/>
      <c r="C106" s="39"/>
      <c r="D106" s="39"/>
      <c r="E106" s="38"/>
      <c r="F106" s="38"/>
      <c r="G106" s="38"/>
      <c r="H106" s="38"/>
    </row>
    <row r="107" spans="1:8" x14ac:dyDescent="0.2">
      <c r="A107" s="38"/>
      <c r="B107" s="38"/>
      <c r="C107" s="39"/>
      <c r="D107" s="39"/>
      <c r="E107" s="38"/>
      <c r="F107" s="38"/>
      <c r="G107" s="38"/>
      <c r="H107" s="38"/>
    </row>
    <row r="108" spans="1:8" x14ac:dyDescent="0.2">
      <c r="A108" s="38"/>
      <c r="B108" s="38"/>
      <c r="C108" s="39"/>
      <c r="D108" s="39"/>
      <c r="E108" s="38"/>
      <c r="F108" s="38"/>
      <c r="G108" s="38"/>
      <c r="H108" s="38"/>
    </row>
    <row r="109" spans="1:8" x14ac:dyDescent="0.2">
      <c r="A109" s="38"/>
      <c r="B109" s="38"/>
      <c r="C109" s="39"/>
      <c r="D109" s="39"/>
      <c r="E109" s="38"/>
      <c r="F109" s="38"/>
      <c r="G109" s="38"/>
      <c r="H109" s="38"/>
    </row>
    <row r="110" spans="1:8" x14ac:dyDescent="0.2">
      <c r="A110" s="38"/>
      <c r="B110" s="38"/>
      <c r="C110" s="39"/>
      <c r="D110" s="39"/>
      <c r="E110" s="38"/>
      <c r="F110" s="38"/>
      <c r="G110" s="38"/>
      <c r="H110" s="38"/>
    </row>
    <row r="111" spans="1:8" x14ac:dyDescent="0.2">
      <c r="A111" s="38"/>
      <c r="B111" s="38"/>
      <c r="C111" s="39"/>
      <c r="D111" s="39"/>
      <c r="E111" s="38"/>
      <c r="F111" s="38"/>
      <c r="G111" s="38"/>
      <c r="H111" s="38"/>
    </row>
    <row r="112" spans="1:8" x14ac:dyDescent="0.2">
      <c r="A112" s="38"/>
      <c r="B112" s="38"/>
      <c r="C112" s="39"/>
      <c r="D112" s="39"/>
      <c r="E112" s="38"/>
      <c r="F112" s="38"/>
      <c r="G112" s="38"/>
      <c r="H112" s="38"/>
    </row>
    <row r="113" spans="1:8" x14ac:dyDescent="0.2">
      <c r="A113" s="38"/>
      <c r="B113" s="38"/>
      <c r="C113" s="39"/>
      <c r="D113" s="39"/>
      <c r="E113" s="38"/>
      <c r="F113" s="38"/>
      <c r="G113" s="38"/>
      <c r="H113" s="38"/>
    </row>
    <row r="114" spans="1:8" x14ac:dyDescent="0.2">
      <c r="A114" s="38"/>
      <c r="B114" s="38"/>
      <c r="C114" s="39"/>
      <c r="D114" s="39"/>
      <c r="E114" s="38"/>
      <c r="F114" s="38"/>
      <c r="G114" s="38"/>
      <c r="H114" s="38"/>
    </row>
    <row r="115" spans="1:8" x14ac:dyDescent="0.2">
      <c r="A115" s="38"/>
      <c r="B115" s="38"/>
      <c r="C115" s="39"/>
      <c r="D115" s="39"/>
      <c r="E115" s="38"/>
      <c r="F115" s="38"/>
      <c r="G115" s="38"/>
      <c r="H115" s="38"/>
    </row>
    <row r="116" spans="1:8" x14ac:dyDescent="0.2">
      <c r="A116" s="38"/>
      <c r="B116" s="38"/>
      <c r="C116" s="39"/>
      <c r="D116" s="39"/>
      <c r="E116" s="38"/>
      <c r="F116" s="38"/>
      <c r="G116" s="38"/>
      <c r="H116" s="38"/>
    </row>
    <row r="117" spans="1:8" x14ac:dyDescent="0.2">
      <c r="A117" s="38"/>
      <c r="B117" s="38"/>
      <c r="C117" s="39"/>
      <c r="D117" s="39"/>
      <c r="E117" s="38"/>
      <c r="F117" s="38"/>
      <c r="G117" s="38"/>
      <c r="H117" s="38"/>
    </row>
    <row r="118" spans="1:8" x14ac:dyDescent="0.2">
      <c r="A118" s="38"/>
      <c r="B118" s="38"/>
      <c r="C118" s="39"/>
      <c r="D118" s="39"/>
      <c r="E118" s="38"/>
      <c r="F118" s="38"/>
      <c r="G118" s="38"/>
      <c r="H118" s="38"/>
    </row>
    <row r="119" spans="1:8" x14ac:dyDescent="0.2">
      <c r="A119" s="38"/>
      <c r="B119" s="38"/>
      <c r="C119" s="39"/>
      <c r="D119" s="39"/>
      <c r="E119" s="38"/>
      <c r="F119" s="38"/>
      <c r="G119" s="38"/>
      <c r="H119" s="38"/>
    </row>
    <row r="120" spans="1:8" x14ac:dyDescent="0.2">
      <c r="A120" s="38"/>
      <c r="B120" s="38"/>
      <c r="C120" s="39"/>
      <c r="D120" s="39"/>
      <c r="E120" s="38"/>
      <c r="F120" s="38"/>
      <c r="G120" s="38"/>
      <c r="H120" s="38"/>
    </row>
    <row r="121" spans="1:8" x14ac:dyDescent="0.2">
      <c r="A121" s="38"/>
      <c r="B121" s="38"/>
      <c r="C121" s="39"/>
      <c r="D121" s="39"/>
      <c r="E121" s="38"/>
      <c r="F121" s="38"/>
      <c r="G121" s="38"/>
      <c r="H121" s="38"/>
    </row>
    <row r="122" spans="1:8" x14ac:dyDescent="0.2">
      <c r="A122" s="38"/>
      <c r="B122" s="38"/>
      <c r="C122" s="39"/>
      <c r="D122" s="39"/>
      <c r="E122" s="38"/>
      <c r="F122" s="38"/>
      <c r="G122" s="38"/>
      <c r="H122" s="38"/>
    </row>
    <row r="123" spans="1:8" x14ac:dyDescent="0.2">
      <c r="A123" s="38"/>
      <c r="B123" s="38"/>
      <c r="C123" s="39"/>
      <c r="D123" s="39"/>
      <c r="E123" s="38"/>
      <c r="F123" s="38"/>
      <c r="G123" s="38"/>
      <c r="H123" s="38"/>
    </row>
    <row r="124" spans="1:8" x14ac:dyDescent="0.2">
      <c r="A124" s="38"/>
      <c r="B124" s="38"/>
      <c r="C124" s="39"/>
      <c r="D124" s="39"/>
      <c r="E124" s="38"/>
      <c r="F124" s="38"/>
      <c r="G124" s="38"/>
      <c r="H124" s="38"/>
    </row>
    <row r="125" spans="1:8" x14ac:dyDescent="0.2">
      <c r="A125" s="38"/>
      <c r="B125" s="38"/>
      <c r="C125" s="39"/>
      <c r="D125" s="39"/>
      <c r="E125" s="38"/>
      <c r="F125" s="38"/>
      <c r="G125" s="38"/>
      <c r="H125" s="38"/>
    </row>
    <row r="126" spans="1:8" x14ac:dyDescent="0.2">
      <c r="A126" s="38"/>
      <c r="B126" s="38"/>
      <c r="C126" s="39"/>
      <c r="D126" s="39"/>
      <c r="E126" s="38"/>
      <c r="F126" s="38"/>
      <c r="G126" s="38"/>
      <c r="H126" s="38"/>
    </row>
    <row r="127" spans="1:8" x14ac:dyDescent="0.2">
      <c r="A127" s="38"/>
      <c r="B127" s="38"/>
      <c r="C127" s="39"/>
      <c r="D127" s="39"/>
      <c r="E127" s="38"/>
      <c r="F127" s="38"/>
      <c r="G127" s="38"/>
      <c r="H127" s="38"/>
    </row>
    <row r="128" spans="1:8" x14ac:dyDescent="0.2">
      <c r="A128" s="38"/>
      <c r="B128" s="38"/>
      <c r="C128" s="39"/>
      <c r="D128" s="39"/>
      <c r="E128" s="38"/>
      <c r="F128" s="38"/>
      <c r="G128" s="38"/>
      <c r="H128" s="38"/>
    </row>
    <row r="129" spans="1:8" x14ac:dyDescent="0.2">
      <c r="A129" s="38"/>
      <c r="B129" s="38"/>
      <c r="C129" s="39"/>
      <c r="D129" s="39"/>
      <c r="E129" s="38"/>
      <c r="F129" s="38"/>
      <c r="G129" s="38"/>
      <c r="H129" s="38"/>
    </row>
    <row r="130" spans="1:8" x14ac:dyDescent="0.2">
      <c r="A130" s="38"/>
      <c r="B130" s="38"/>
      <c r="C130" s="39"/>
      <c r="D130" s="39"/>
      <c r="E130" s="38"/>
      <c r="F130" s="38"/>
      <c r="G130" s="38"/>
      <c r="H130" s="38"/>
    </row>
    <row r="131" spans="1:8" x14ac:dyDescent="0.2">
      <c r="A131" s="38"/>
      <c r="B131" s="38"/>
      <c r="C131" s="39"/>
      <c r="D131" s="39"/>
      <c r="E131" s="38"/>
      <c r="F131" s="38"/>
      <c r="G131" s="38"/>
      <c r="H131" s="38"/>
    </row>
    <row r="132" spans="1:8" x14ac:dyDescent="0.2">
      <c r="A132" s="38"/>
      <c r="B132" s="38"/>
      <c r="C132" s="39"/>
      <c r="D132" s="39"/>
      <c r="E132" s="38"/>
      <c r="F132" s="38"/>
      <c r="G132" s="38"/>
      <c r="H132" s="38"/>
    </row>
    <row r="133" spans="1:8" x14ac:dyDescent="0.2">
      <c r="A133" s="38"/>
      <c r="B133" s="38"/>
      <c r="C133" s="39"/>
      <c r="D133" s="39"/>
      <c r="E133" s="38"/>
      <c r="F133" s="38"/>
      <c r="G133" s="38"/>
      <c r="H133" s="38"/>
    </row>
    <row r="134" spans="1:8" x14ac:dyDescent="0.2">
      <c r="A134" s="38"/>
      <c r="B134" s="38"/>
      <c r="C134" s="39"/>
      <c r="D134" s="39"/>
      <c r="E134" s="38"/>
      <c r="F134" s="38"/>
      <c r="G134" s="38"/>
      <c r="H134" s="38"/>
    </row>
    <row r="135" spans="1:8" x14ac:dyDescent="0.2">
      <c r="A135" s="38"/>
      <c r="B135" s="38"/>
      <c r="C135" s="39"/>
      <c r="D135" s="39"/>
      <c r="E135" s="38"/>
      <c r="F135" s="38"/>
      <c r="G135" s="38"/>
      <c r="H135" s="38"/>
    </row>
    <row r="136" spans="1:8" x14ac:dyDescent="0.2">
      <c r="A136" s="38"/>
      <c r="B136" s="38"/>
      <c r="C136" s="39"/>
      <c r="D136" s="39"/>
      <c r="E136" s="38"/>
      <c r="F136" s="38"/>
      <c r="G136" s="38"/>
      <c r="H136" s="38"/>
    </row>
    <row r="137" spans="1:8" x14ac:dyDescent="0.2">
      <c r="A137" s="38"/>
      <c r="B137" s="38"/>
      <c r="C137" s="39"/>
      <c r="D137" s="39"/>
      <c r="E137" s="38"/>
      <c r="F137" s="38"/>
      <c r="G137" s="38"/>
      <c r="H137" s="38"/>
    </row>
    <row r="138" spans="1:8" x14ac:dyDescent="0.2">
      <c r="A138" s="38"/>
      <c r="B138" s="38"/>
      <c r="C138" s="39"/>
      <c r="D138" s="39"/>
      <c r="E138" s="38"/>
      <c r="F138" s="38"/>
      <c r="G138" s="38"/>
      <c r="H138" s="38"/>
    </row>
    <row r="139" spans="1:8" x14ac:dyDescent="0.2">
      <c r="A139" s="38"/>
      <c r="B139" s="38"/>
      <c r="C139" s="39"/>
      <c r="D139" s="39"/>
      <c r="E139" s="38"/>
      <c r="F139" s="38"/>
      <c r="G139" s="38"/>
      <c r="H139" s="38"/>
    </row>
    <row r="140" spans="1:8" x14ac:dyDescent="0.2">
      <c r="A140" s="38"/>
      <c r="B140" s="38"/>
      <c r="C140" s="39"/>
      <c r="D140" s="39"/>
      <c r="E140" s="38"/>
      <c r="F140" s="38"/>
      <c r="G140" s="38"/>
      <c r="H140" s="38"/>
    </row>
    <row r="141" spans="1:8" x14ac:dyDescent="0.2">
      <c r="A141" s="38"/>
      <c r="B141" s="38"/>
      <c r="C141" s="39"/>
      <c r="D141" s="39"/>
      <c r="E141" s="38"/>
      <c r="F141" s="38"/>
      <c r="G141" s="38"/>
      <c r="H141" s="38"/>
    </row>
    <row r="142" spans="1:8" x14ac:dyDescent="0.2">
      <c r="A142" s="38"/>
      <c r="B142" s="38"/>
      <c r="C142" s="39"/>
      <c r="D142" s="39"/>
      <c r="E142" s="38"/>
      <c r="F142" s="38"/>
      <c r="G142" s="38"/>
      <c r="H142" s="38"/>
    </row>
    <row r="143" spans="1:8" x14ac:dyDescent="0.2">
      <c r="A143" s="38"/>
      <c r="B143" s="38"/>
      <c r="C143" s="39"/>
      <c r="D143" s="39"/>
      <c r="E143" s="38"/>
      <c r="F143" s="38"/>
      <c r="G143" s="38"/>
      <c r="H143" s="38"/>
    </row>
    <row r="144" spans="1:8" x14ac:dyDescent="0.2">
      <c r="A144" s="38"/>
      <c r="B144" s="38"/>
      <c r="C144" s="39"/>
      <c r="D144" s="39"/>
      <c r="E144" s="38"/>
      <c r="F144" s="38"/>
      <c r="G144" s="38"/>
      <c r="H144" s="38"/>
    </row>
    <row r="145" spans="1:8" x14ac:dyDescent="0.2">
      <c r="A145" s="38"/>
      <c r="B145" s="38"/>
      <c r="C145" s="39"/>
      <c r="D145" s="39"/>
      <c r="E145" s="38"/>
      <c r="F145" s="38"/>
      <c r="G145" s="38"/>
      <c r="H145" s="38"/>
    </row>
    <row r="146" spans="1:8" x14ac:dyDescent="0.2">
      <c r="A146" s="38"/>
      <c r="B146" s="38"/>
      <c r="C146" s="39"/>
      <c r="D146" s="39"/>
      <c r="E146" s="38"/>
      <c r="F146" s="38"/>
      <c r="G146" s="38"/>
      <c r="H146" s="38"/>
    </row>
    <row r="147" spans="1:8" x14ac:dyDescent="0.2">
      <c r="A147" s="38"/>
      <c r="B147" s="38"/>
      <c r="C147" s="39"/>
      <c r="D147" s="39"/>
      <c r="E147" s="38"/>
      <c r="F147" s="38"/>
      <c r="G147" s="38"/>
      <c r="H147" s="38"/>
    </row>
    <row r="148" spans="1:8" x14ac:dyDescent="0.2">
      <c r="A148" s="38"/>
      <c r="B148" s="38"/>
      <c r="C148" s="39"/>
      <c r="D148" s="39"/>
      <c r="E148" s="38"/>
      <c r="F148" s="38"/>
      <c r="G148" s="38"/>
      <c r="H148" s="38"/>
    </row>
    <row r="149" spans="1:8" x14ac:dyDescent="0.2">
      <c r="A149" s="38"/>
      <c r="B149" s="38"/>
      <c r="C149" s="39"/>
      <c r="D149" s="39"/>
      <c r="E149" s="38"/>
      <c r="F149" s="38"/>
      <c r="G149" s="38"/>
      <c r="H149" s="38"/>
    </row>
    <row r="150" spans="1:8" x14ac:dyDescent="0.2">
      <c r="A150" s="38"/>
      <c r="B150" s="38"/>
      <c r="C150" s="39"/>
      <c r="D150" s="39"/>
      <c r="E150" s="38"/>
      <c r="F150" s="38"/>
      <c r="G150" s="38"/>
      <c r="H150" s="38"/>
    </row>
    <row r="151" spans="1:8" x14ac:dyDescent="0.2">
      <c r="A151" s="38"/>
      <c r="B151" s="38"/>
      <c r="C151" s="39"/>
      <c r="D151" s="39"/>
      <c r="E151" s="38"/>
      <c r="F151" s="38"/>
      <c r="G151" s="38"/>
      <c r="H151" s="38"/>
    </row>
    <row r="152" spans="1:8" x14ac:dyDescent="0.2">
      <c r="A152" s="38"/>
      <c r="B152" s="38"/>
      <c r="C152" s="39"/>
      <c r="D152" s="39"/>
      <c r="E152" s="38"/>
      <c r="F152" s="38"/>
      <c r="G152" s="38"/>
      <c r="H152" s="38"/>
    </row>
    <row r="153" spans="1:8" x14ac:dyDescent="0.2">
      <c r="A153" s="38"/>
      <c r="B153" s="38"/>
      <c r="C153" s="39"/>
      <c r="D153" s="39"/>
      <c r="E153" s="38"/>
      <c r="F153" s="38"/>
      <c r="G153" s="38"/>
      <c r="H153" s="38"/>
    </row>
    <row r="154" spans="1:8" x14ac:dyDescent="0.2">
      <c r="A154" s="38"/>
      <c r="B154" s="38"/>
      <c r="C154" s="39"/>
      <c r="D154" s="39"/>
      <c r="E154" s="38"/>
      <c r="F154" s="38"/>
      <c r="G154" s="38"/>
      <c r="H154" s="38"/>
    </row>
    <row r="155" spans="1:8" x14ac:dyDescent="0.2">
      <c r="A155" s="38"/>
      <c r="B155" s="38"/>
      <c r="C155" s="39"/>
      <c r="D155" s="39"/>
      <c r="E155" s="38"/>
      <c r="F155" s="38"/>
      <c r="G155" s="38"/>
      <c r="H155" s="38"/>
    </row>
    <row r="156" spans="1:8" x14ac:dyDescent="0.2">
      <c r="A156" s="38"/>
      <c r="B156" s="38"/>
      <c r="C156" s="39"/>
      <c r="D156" s="39"/>
      <c r="E156" s="38"/>
      <c r="F156" s="38"/>
      <c r="G156" s="38"/>
      <c r="H156" s="38"/>
    </row>
    <row r="157" spans="1:8" x14ac:dyDescent="0.2">
      <c r="A157" s="38"/>
      <c r="B157" s="38"/>
      <c r="C157" s="39"/>
      <c r="D157" s="39"/>
      <c r="E157" s="38"/>
      <c r="F157" s="38"/>
      <c r="G157" s="38"/>
      <c r="H157" s="38"/>
    </row>
    <row r="158" spans="1:8" x14ac:dyDescent="0.2">
      <c r="A158" s="38"/>
      <c r="B158" s="38"/>
      <c r="C158" s="39"/>
      <c r="D158" s="39"/>
      <c r="E158" s="38"/>
      <c r="F158" s="38"/>
      <c r="G158" s="38"/>
      <c r="H158" s="38"/>
    </row>
    <row r="159" spans="1:8" x14ac:dyDescent="0.2">
      <c r="A159" s="38"/>
      <c r="B159" s="38"/>
      <c r="C159" s="39"/>
      <c r="D159" s="39"/>
      <c r="E159" s="38"/>
      <c r="F159" s="38"/>
      <c r="G159" s="38"/>
      <c r="H159" s="38"/>
    </row>
    <row r="160" spans="1:8" x14ac:dyDescent="0.2">
      <c r="A160" s="38"/>
      <c r="B160" s="38"/>
      <c r="C160" s="39"/>
      <c r="D160" s="39"/>
      <c r="E160" s="38"/>
      <c r="F160" s="38"/>
      <c r="G160" s="38"/>
      <c r="H160" s="38"/>
    </row>
    <row r="161" spans="1:8" x14ac:dyDescent="0.2">
      <c r="A161" s="38"/>
      <c r="B161" s="38"/>
      <c r="C161" s="39"/>
      <c r="D161" s="39"/>
      <c r="E161" s="38"/>
      <c r="F161" s="38"/>
      <c r="G161" s="38"/>
      <c r="H161" s="38"/>
    </row>
    <row r="162" spans="1:8" x14ac:dyDescent="0.2">
      <c r="A162" s="38"/>
      <c r="B162" s="38"/>
      <c r="C162" s="39"/>
      <c r="D162" s="39"/>
      <c r="E162" s="38"/>
      <c r="F162" s="38"/>
      <c r="G162" s="38"/>
      <c r="H162" s="38"/>
    </row>
    <row r="163" spans="1:8" x14ac:dyDescent="0.2">
      <c r="A163" s="38"/>
      <c r="B163" s="38"/>
      <c r="C163" s="39"/>
      <c r="D163" s="39"/>
      <c r="E163" s="38"/>
      <c r="F163" s="38"/>
      <c r="G163" s="38"/>
      <c r="H163" s="38"/>
    </row>
    <row r="164" spans="1:8" x14ac:dyDescent="0.2">
      <c r="A164" s="38"/>
      <c r="B164" s="38"/>
      <c r="C164" s="39"/>
      <c r="D164" s="39"/>
      <c r="E164" s="38"/>
      <c r="F164" s="38"/>
      <c r="G164" s="38"/>
      <c r="H164" s="38"/>
    </row>
    <row r="165" spans="1:8" x14ac:dyDescent="0.2">
      <c r="A165" s="38"/>
      <c r="B165" s="38"/>
      <c r="C165" s="39"/>
      <c r="D165" s="39"/>
      <c r="E165" s="38"/>
      <c r="F165" s="38"/>
      <c r="G165" s="38"/>
      <c r="H165" s="38"/>
    </row>
    <row r="166" spans="1:8" x14ac:dyDescent="0.2">
      <c r="A166" s="38"/>
      <c r="B166" s="38"/>
      <c r="C166" s="39"/>
      <c r="D166" s="39"/>
      <c r="E166" s="38"/>
      <c r="F166" s="38"/>
      <c r="G166" s="38"/>
      <c r="H166" s="38"/>
    </row>
    <row r="167" spans="1:8" x14ac:dyDescent="0.2">
      <c r="A167" s="38"/>
      <c r="B167" s="38"/>
      <c r="C167" s="39"/>
      <c r="D167" s="39"/>
      <c r="E167" s="38"/>
      <c r="F167" s="38"/>
      <c r="G167" s="38"/>
      <c r="H167" s="38"/>
    </row>
    <row r="168" spans="1:8" x14ac:dyDescent="0.2">
      <c r="A168" s="38"/>
      <c r="B168" s="38"/>
      <c r="C168" s="39"/>
      <c r="D168" s="39"/>
      <c r="E168" s="38"/>
      <c r="F168" s="38"/>
      <c r="G168" s="38"/>
      <c r="H168" s="38"/>
    </row>
    <row r="169" spans="1:8" x14ac:dyDescent="0.2">
      <c r="A169" s="38"/>
      <c r="B169" s="38"/>
      <c r="C169" s="39"/>
      <c r="D169" s="39"/>
      <c r="E169" s="38"/>
      <c r="F169" s="38"/>
      <c r="G169" s="38"/>
      <c r="H169" s="38"/>
    </row>
    <row r="170" spans="1:8" x14ac:dyDescent="0.2">
      <c r="A170" s="38"/>
      <c r="B170" s="38"/>
      <c r="C170" s="39"/>
      <c r="D170" s="39"/>
      <c r="E170" s="38"/>
      <c r="F170" s="38"/>
      <c r="G170" s="38"/>
      <c r="H170" s="38"/>
    </row>
    <row r="171" spans="1:8" x14ac:dyDescent="0.2">
      <c r="A171" s="38"/>
      <c r="B171" s="38"/>
      <c r="C171" s="39"/>
      <c r="D171" s="39"/>
      <c r="E171" s="38"/>
      <c r="F171" s="38"/>
      <c r="G171" s="38"/>
      <c r="H171" s="38"/>
    </row>
    <row r="172" spans="1:8" x14ac:dyDescent="0.2">
      <c r="A172" s="38"/>
      <c r="B172" s="38"/>
      <c r="C172" s="39"/>
      <c r="D172" s="39"/>
      <c r="E172" s="38"/>
      <c r="F172" s="38"/>
      <c r="G172" s="38"/>
      <c r="H172" s="38"/>
    </row>
    <row r="173" spans="1:8" x14ac:dyDescent="0.2">
      <c r="A173" s="38"/>
      <c r="B173" s="38"/>
      <c r="C173" s="39"/>
      <c r="D173" s="39"/>
      <c r="E173" s="38"/>
      <c r="F173" s="38"/>
      <c r="G173" s="38"/>
      <c r="H173" s="38"/>
    </row>
    <row r="174" spans="1:8" x14ac:dyDescent="0.2">
      <c r="A174" s="38"/>
      <c r="B174" s="38"/>
      <c r="C174" s="39"/>
      <c r="D174" s="39"/>
      <c r="E174" s="38"/>
      <c r="F174" s="38"/>
      <c r="G174" s="38"/>
      <c r="H174" s="38"/>
    </row>
    <row r="175" spans="1:8" x14ac:dyDescent="0.2">
      <c r="A175" s="38"/>
      <c r="B175" s="38"/>
      <c r="C175" s="39"/>
      <c r="D175" s="39"/>
      <c r="E175" s="38"/>
      <c r="F175" s="38"/>
      <c r="G175" s="38"/>
      <c r="H175" s="38"/>
    </row>
    <row r="176" spans="1:8" x14ac:dyDescent="0.2">
      <c r="A176" s="38"/>
      <c r="B176" s="38"/>
      <c r="C176" s="39"/>
      <c r="D176" s="39"/>
      <c r="E176" s="38"/>
      <c r="F176" s="38"/>
      <c r="G176" s="38"/>
      <c r="H176" s="38"/>
    </row>
    <row r="177" spans="1:8" x14ac:dyDescent="0.2">
      <c r="A177" s="38"/>
      <c r="B177" s="38"/>
      <c r="C177" s="39"/>
      <c r="D177" s="39"/>
      <c r="E177" s="38"/>
      <c r="F177" s="38"/>
      <c r="G177" s="38"/>
      <c r="H177" s="38"/>
    </row>
    <row r="178" spans="1:8" x14ac:dyDescent="0.2">
      <c r="A178" s="38"/>
      <c r="B178" s="38"/>
      <c r="C178" s="39"/>
      <c r="D178" s="39"/>
      <c r="E178" s="38"/>
      <c r="F178" s="38"/>
      <c r="G178" s="38"/>
      <c r="H178" s="38"/>
    </row>
    <row r="179" spans="1:8" x14ac:dyDescent="0.2">
      <c r="A179" s="38"/>
      <c r="B179" s="38"/>
      <c r="C179" s="39"/>
      <c r="D179" s="39"/>
      <c r="E179" s="38"/>
      <c r="F179" s="38"/>
      <c r="G179" s="38"/>
      <c r="H179" s="38"/>
    </row>
    <row r="180" spans="1:8" x14ac:dyDescent="0.2">
      <c r="A180" s="38"/>
      <c r="B180" s="38"/>
      <c r="C180" s="39"/>
      <c r="D180" s="39"/>
      <c r="E180" s="38"/>
      <c r="F180" s="38"/>
      <c r="G180" s="38"/>
      <c r="H180" s="38"/>
    </row>
    <row r="181" spans="1:8" x14ac:dyDescent="0.2">
      <c r="A181" s="38"/>
      <c r="B181" s="38"/>
      <c r="C181" s="39"/>
      <c r="D181" s="39"/>
      <c r="E181" s="38"/>
      <c r="F181" s="38"/>
      <c r="G181" s="38"/>
      <c r="H181" s="38"/>
    </row>
    <row r="182" spans="1:8" x14ac:dyDescent="0.2">
      <c r="A182" s="38"/>
      <c r="B182" s="38"/>
      <c r="C182" s="39"/>
      <c r="D182" s="39"/>
      <c r="E182" s="38"/>
      <c r="F182" s="38"/>
      <c r="G182" s="38"/>
      <c r="H182" s="38"/>
    </row>
    <row r="183" spans="1:8" x14ac:dyDescent="0.2">
      <c r="A183" s="38"/>
      <c r="B183" s="38"/>
      <c r="C183" s="39"/>
      <c r="D183" s="39"/>
      <c r="E183" s="38"/>
      <c r="F183" s="38"/>
      <c r="G183" s="38"/>
      <c r="H183" s="38"/>
    </row>
    <row r="184" spans="1:8" x14ac:dyDescent="0.2">
      <c r="A184" s="38"/>
      <c r="B184" s="38"/>
      <c r="C184" s="39"/>
      <c r="D184" s="39"/>
      <c r="E184" s="38"/>
      <c r="F184" s="38"/>
      <c r="G184" s="38"/>
      <c r="H184" s="38"/>
    </row>
    <row r="185" spans="1:8" x14ac:dyDescent="0.2">
      <c r="A185" s="38"/>
      <c r="B185" s="38"/>
      <c r="C185" s="39"/>
      <c r="D185" s="39"/>
      <c r="E185" s="38"/>
      <c r="F185" s="38"/>
      <c r="G185" s="38"/>
      <c r="H185" s="38"/>
    </row>
    <row r="186" spans="1:8" x14ac:dyDescent="0.2">
      <c r="A186" s="38"/>
      <c r="B186" s="38"/>
      <c r="C186" s="39"/>
      <c r="D186" s="39"/>
      <c r="E186" s="38"/>
      <c r="F186" s="38"/>
      <c r="G186" s="38"/>
      <c r="H186" s="38"/>
    </row>
    <row r="187" spans="1:8" x14ac:dyDescent="0.2">
      <c r="A187" s="38"/>
      <c r="B187" s="38"/>
      <c r="C187" s="39"/>
      <c r="D187" s="39"/>
      <c r="E187" s="38"/>
      <c r="F187" s="38"/>
      <c r="G187" s="38"/>
      <c r="H187" s="38"/>
    </row>
    <row r="188" spans="1:8" x14ac:dyDescent="0.2">
      <c r="A188" s="38"/>
      <c r="B188" s="38"/>
      <c r="C188" s="39"/>
      <c r="D188" s="39"/>
      <c r="E188" s="38"/>
      <c r="F188" s="38"/>
      <c r="G188" s="38"/>
      <c r="H188" s="38"/>
    </row>
    <row r="189" spans="1:8" x14ac:dyDescent="0.2">
      <c r="A189" s="38"/>
      <c r="B189" s="38"/>
      <c r="C189" s="39"/>
      <c r="D189" s="39"/>
      <c r="E189" s="38"/>
      <c r="F189" s="38"/>
      <c r="G189" s="38"/>
      <c r="H189" s="38"/>
    </row>
    <row r="190" spans="1:8" x14ac:dyDescent="0.2">
      <c r="A190" s="38"/>
      <c r="B190" s="38"/>
      <c r="C190" s="39"/>
      <c r="D190" s="39"/>
      <c r="E190" s="38"/>
      <c r="F190" s="38"/>
      <c r="G190" s="38"/>
      <c r="H190" s="38"/>
    </row>
    <row r="191" spans="1:8" x14ac:dyDescent="0.2">
      <c r="A191" s="38"/>
      <c r="B191" s="38"/>
      <c r="C191" s="39"/>
      <c r="D191" s="39"/>
      <c r="E191" s="38"/>
      <c r="F191" s="38"/>
      <c r="G191" s="38"/>
      <c r="H191" s="38"/>
    </row>
    <row r="192" spans="1:8" x14ac:dyDescent="0.2">
      <c r="A192" s="38"/>
      <c r="B192" s="38"/>
      <c r="C192" s="39"/>
      <c r="D192" s="39"/>
      <c r="E192" s="38"/>
      <c r="F192" s="38"/>
      <c r="G192" s="38"/>
      <c r="H192" s="38"/>
    </row>
    <row r="193" spans="1:8" x14ac:dyDescent="0.2">
      <c r="A193" s="38"/>
      <c r="B193" s="38"/>
      <c r="C193" s="39"/>
      <c r="D193" s="39"/>
      <c r="E193" s="38"/>
      <c r="F193" s="38"/>
      <c r="G193" s="38"/>
      <c r="H193" s="38"/>
    </row>
    <row r="194" spans="1:8" x14ac:dyDescent="0.2">
      <c r="A194" s="38"/>
      <c r="B194" s="38"/>
      <c r="C194" s="39"/>
      <c r="D194" s="39"/>
      <c r="E194" s="38"/>
      <c r="F194" s="38"/>
      <c r="G194" s="38"/>
      <c r="H194" s="38"/>
    </row>
    <row r="195" spans="1:8" x14ac:dyDescent="0.2">
      <c r="A195" s="38"/>
      <c r="B195" s="38"/>
      <c r="C195" s="39"/>
      <c r="D195" s="39"/>
      <c r="E195" s="38"/>
      <c r="F195" s="38"/>
      <c r="G195" s="38"/>
      <c r="H195" s="38"/>
    </row>
    <row r="196" spans="1:8" x14ac:dyDescent="0.2">
      <c r="A196" s="38"/>
      <c r="B196" s="38"/>
      <c r="C196" s="39"/>
      <c r="D196" s="39"/>
      <c r="E196" s="38"/>
      <c r="F196" s="38"/>
      <c r="G196" s="38"/>
      <c r="H196" s="38"/>
    </row>
    <row r="197" spans="1:8" x14ac:dyDescent="0.2">
      <c r="A197" s="38"/>
      <c r="B197" s="38"/>
      <c r="C197" s="39"/>
      <c r="D197" s="39"/>
      <c r="E197" s="38"/>
      <c r="F197" s="38"/>
      <c r="G197" s="38"/>
      <c r="H197" s="38"/>
    </row>
    <row r="198" spans="1:8" x14ac:dyDescent="0.2">
      <c r="A198" s="38"/>
      <c r="B198" s="38"/>
      <c r="C198" s="39"/>
      <c r="D198" s="39"/>
      <c r="E198" s="38"/>
      <c r="F198" s="38"/>
      <c r="G198" s="38"/>
      <c r="H198" s="38"/>
    </row>
    <row r="199" spans="1:8" x14ac:dyDescent="0.2">
      <c r="A199" s="38"/>
      <c r="B199" s="38"/>
      <c r="C199" s="39"/>
      <c r="D199" s="39"/>
      <c r="E199" s="38"/>
      <c r="F199" s="38"/>
      <c r="G199" s="38"/>
      <c r="H199" s="38"/>
    </row>
    <row r="200" spans="1:8" x14ac:dyDescent="0.2">
      <c r="A200" s="38"/>
      <c r="B200" s="38"/>
      <c r="C200" s="39"/>
      <c r="D200" s="39"/>
      <c r="E200" s="38"/>
      <c r="F200" s="38"/>
      <c r="G200" s="38"/>
      <c r="H200" s="38"/>
    </row>
    <row r="201" spans="1:8" x14ac:dyDescent="0.2">
      <c r="A201" s="38"/>
      <c r="B201" s="38"/>
      <c r="C201" s="39"/>
      <c r="D201" s="39"/>
      <c r="E201" s="38"/>
      <c r="F201" s="38"/>
      <c r="G201" s="38"/>
      <c r="H201" s="38"/>
    </row>
    <row r="202" spans="1:8" x14ac:dyDescent="0.2">
      <c r="A202" s="38"/>
      <c r="B202" s="38"/>
      <c r="C202" s="39"/>
      <c r="D202" s="39"/>
      <c r="E202" s="38"/>
      <c r="F202" s="38"/>
      <c r="G202" s="38"/>
      <c r="H202" s="38"/>
    </row>
    <row r="203" spans="1:8" x14ac:dyDescent="0.2">
      <c r="A203" s="38"/>
      <c r="B203" s="38"/>
      <c r="C203" s="39"/>
      <c r="D203" s="39"/>
      <c r="E203" s="38"/>
      <c r="F203" s="38"/>
      <c r="G203" s="38"/>
      <c r="H203" s="38"/>
    </row>
    <row r="204" spans="1:8" x14ac:dyDescent="0.2">
      <c r="A204" s="38"/>
      <c r="B204" s="38"/>
      <c r="C204" s="39"/>
      <c r="D204" s="39"/>
      <c r="E204" s="38"/>
      <c r="F204" s="38"/>
      <c r="G204" s="38"/>
      <c r="H204" s="38"/>
    </row>
    <row r="205" spans="1:8" x14ac:dyDescent="0.2">
      <c r="A205" s="38"/>
      <c r="B205" s="38"/>
      <c r="C205" s="39"/>
      <c r="D205" s="39"/>
      <c r="E205" s="38"/>
      <c r="F205" s="38"/>
      <c r="G205" s="38"/>
      <c r="H205" s="38"/>
    </row>
    <row r="206" spans="1:8" x14ac:dyDescent="0.2">
      <c r="A206" s="38"/>
      <c r="B206" s="38"/>
      <c r="C206" s="39"/>
      <c r="D206" s="39"/>
      <c r="E206" s="38"/>
      <c r="F206" s="38"/>
      <c r="G206" s="38"/>
      <c r="H206" s="38"/>
    </row>
    <row r="207" spans="1:8" x14ac:dyDescent="0.2">
      <c r="A207" s="38"/>
      <c r="B207" s="38"/>
      <c r="C207" s="39"/>
      <c r="D207" s="39"/>
      <c r="E207" s="38"/>
      <c r="F207" s="38"/>
      <c r="G207" s="38"/>
      <c r="H207" s="38"/>
    </row>
    <row r="208" spans="1:8" x14ac:dyDescent="0.2">
      <c r="A208" s="38"/>
      <c r="B208" s="38"/>
      <c r="C208" s="39"/>
      <c r="D208" s="39"/>
      <c r="E208" s="38"/>
      <c r="F208" s="38"/>
      <c r="G208" s="38"/>
      <c r="H208" s="38"/>
    </row>
    <row r="209" spans="1:8" x14ac:dyDescent="0.2">
      <c r="A209" s="38"/>
      <c r="B209" s="38"/>
      <c r="C209" s="39"/>
      <c r="D209" s="39"/>
      <c r="E209" s="38"/>
      <c r="F209" s="38"/>
      <c r="G209" s="38"/>
      <c r="H209" s="38"/>
    </row>
    <row r="210" spans="1:8" x14ac:dyDescent="0.2">
      <c r="A210" s="38"/>
      <c r="B210" s="38"/>
      <c r="C210" s="39"/>
      <c r="D210" s="39"/>
      <c r="E210" s="38"/>
      <c r="F210" s="38"/>
      <c r="G210" s="38"/>
      <c r="H210" s="38"/>
    </row>
    <row r="211" spans="1:8" x14ac:dyDescent="0.2">
      <c r="A211" s="38"/>
      <c r="B211" s="38"/>
      <c r="C211" s="39"/>
      <c r="D211" s="39"/>
      <c r="E211" s="38"/>
      <c r="F211" s="38"/>
      <c r="G211" s="38"/>
      <c r="H211" s="38"/>
    </row>
    <row r="212" spans="1:8" x14ac:dyDescent="0.2">
      <c r="A212" s="38"/>
      <c r="B212" s="38"/>
      <c r="C212" s="39"/>
      <c r="D212" s="39"/>
      <c r="E212" s="38"/>
      <c r="F212" s="38"/>
      <c r="G212" s="38"/>
      <c r="H212" s="38"/>
    </row>
    <row r="213" spans="1:8" x14ac:dyDescent="0.2">
      <c r="A213" s="38"/>
      <c r="B213" s="38"/>
      <c r="C213" s="39"/>
      <c r="D213" s="39"/>
      <c r="E213" s="38"/>
      <c r="F213" s="38"/>
      <c r="G213" s="38"/>
      <c r="H213" s="38"/>
    </row>
    <row r="214" spans="1:8" x14ac:dyDescent="0.2">
      <c r="A214" s="38"/>
      <c r="B214" s="38"/>
      <c r="C214" s="39"/>
      <c r="D214" s="39"/>
      <c r="E214" s="38"/>
      <c r="F214" s="38"/>
      <c r="G214" s="38"/>
      <c r="H214" s="38"/>
    </row>
    <row r="215" spans="1:8" x14ac:dyDescent="0.2">
      <c r="A215" s="38"/>
      <c r="B215" s="38"/>
      <c r="C215" s="39"/>
      <c r="D215" s="39"/>
      <c r="E215" s="38"/>
      <c r="F215" s="38"/>
      <c r="G215" s="38"/>
      <c r="H215" s="38"/>
    </row>
    <row r="216" spans="1:8" x14ac:dyDescent="0.2">
      <c r="A216" s="38"/>
      <c r="B216" s="38"/>
      <c r="C216" s="39"/>
      <c r="D216" s="39"/>
      <c r="E216" s="38"/>
      <c r="F216" s="38"/>
      <c r="G216" s="38"/>
      <c r="H216" s="38"/>
    </row>
    <row r="217" spans="1:8" x14ac:dyDescent="0.2">
      <c r="A217" s="38"/>
      <c r="B217" s="38"/>
      <c r="C217" s="39"/>
      <c r="D217" s="39"/>
      <c r="E217" s="38"/>
      <c r="F217" s="38"/>
      <c r="G217" s="38"/>
      <c r="H217" s="38"/>
    </row>
    <row r="218" spans="1:8" x14ac:dyDescent="0.2">
      <c r="A218" s="38"/>
      <c r="B218" s="38"/>
      <c r="C218" s="39"/>
      <c r="D218" s="39"/>
      <c r="E218" s="38"/>
      <c r="F218" s="38"/>
      <c r="G218" s="38"/>
      <c r="H218" s="38"/>
    </row>
    <row r="219" spans="1:8" x14ac:dyDescent="0.2">
      <c r="A219" s="38"/>
      <c r="B219" s="38"/>
      <c r="C219" s="39"/>
      <c r="D219" s="39"/>
      <c r="E219" s="38"/>
      <c r="F219" s="38"/>
      <c r="G219" s="38"/>
      <c r="H219" s="38"/>
    </row>
    <row r="220" spans="1:8" x14ac:dyDescent="0.2">
      <c r="A220" s="38"/>
      <c r="B220" s="38"/>
      <c r="C220" s="39"/>
      <c r="D220" s="39"/>
      <c r="E220" s="38"/>
      <c r="F220" s="38"/>
      <c r="G220" s="38"/>
      <c r="H220" s="38"/>
    </row>
    <row r="221" spans="1:8" x14ac:dyDescent="0.2">
      <c r="A221" s="38"/>
      <c r="B221" s="38"/>
      <c r="C221" s="39"/>
      <c r="D221" s="39"/>
      <c r="E221" s="38"/>
      <c r="F221" s="38"/>
      <c r="G221" s="38"/>
      <c r="H221" s="38"/>
    </row>
    <row r="222" spans="1:8" x14ac:dyDescent="0.2">
      <c r="A222" s="38"/>
      <c r="B222" s="38"/>
      <c r="C222" s="39"/>
      <c r="D222" s="39"/>
      <c r="E222" s="38"/>
      <c r="F222" s="38"/>
      <c r="G222" s="38"/>
      <c r="H222" s="38"/>
    </row>
    <row r="223" spans="1:8" x14ac:dyDescent="0.2">
      <c r="A223" s="38"/>
      <c r="B223" s="38"/>
      <c r="C223" s="39"/>
      <c r="D223" s="39"/>
      <c r="E223" s="38"/>
      <c r="F223" s="38"/>
      <c r="G223" s="38"/>
      <c r="H223" s="38"/>
    </row>
    <row r="224" spans="1:8" x14ac:dyDescent="0.2">
      <c r="A224" s="38"/>
      <c r="B224" s="38"/>
      <c r="C224" s="39"/>
      <c r="D224" s="39"/>
      <c r="E224" s="38"/>
      <c r="F224" s="38"/>
      <c r="G224" s="38"/>
      <c r="H224" s="38"/>
    </row>
    <row r="225" spans="1:8" x14ac:dyDescent="0.2">
      <c r="A225" s="38"/>
      <c r="B225" s="38"/>
      <c r="C225" s="39"/>
      <c r="D225" s="39"/>
      <c r="E225" s="38"/>
      <c r="F225" s="38"/>
      <c r="G225" s="38"/>
      <c r="H225" s="38"/>
    </row>
    <row r="226" spans="1:8" x14ac:dyDescent="0.2">
      <c r="A226" s="38"/>
      <c r="B226" s="38"/>
      <c r="C226" s="39"/>
      <c r="D226" s="39"/>
      <c r="E226" s="38"/>
      <c r="F226" s="38"/>
      <c r="G226" s="38"/>
      <c r="H226" s="38"/>
    </row>
    <row r="227" spans="1:8" x14ac:dyDescent="0.2">
      <c r="A227" s="38"/>
      <c r="B227" s="38"/>
      <c r="C227" s="39"/>
      <c r="D227" s="39"/>
      <c r="E227" s="38"/>
      <c r="F227" s="38"/>
      <c r="G227" s="38"/>
      <c r="H227" s="38"/>
    </row>
    <row r="228" spans="1:8" x14ac:dyDescent="0.2">
      <c r="A228" s="38"/>
      <c r="B228" s="38"/>
      <c r="C228" s="39"/>
      <c r="D228" s="39"/>
      <c r="E228" s="38"/>
      <c r="F228" s="38"/>
      <c r="G228" s="38"/>
      <c r="H228" s="38"/>
    </row>
    <row r="229" spans="1:8" x14ac:dyDescent="0.2">
      <c r="A229" s="38"/>
      <c r="B229" s="38"/>
      <c r="C229" s="39"/>
      <c r="D229" s="39"/>
      <c r="E229" s="38"/>
      <c r="F229" s="38"/>
      <c r="G229" s="38"/>
      <c r="H229" s="38"/>
    </row>
    <row r="230" spans="1:8" x14ac:dyDescent="0.2">
      <c r="A230" s="38"/>
      <c r="B230" s="38"/>
      <c r="C230" s="39"/>
      <c r="D230" s="39"/>
      <c r="E230" s="38"/>
      <c r="F230" s="38"/>
      <c r="G230" s="38"/>
      <c r="H230" s="38"/>
    </row>
    <row r="231" spans="1:8" x14ac:dyDescent="0.2">
      <c r="A231" s="38"/>
      <c r="B231" s="38"/>
      <c r="C231" s="39"/>
      <c r="D231" s="39"/>
      <c r="E231" s="38"/>
      <c r="F231" s="38"/>
      <c r="G231" s="38"/>
      <c r="H231" s="38"/>
    </row>
    <row r="232" spans="1:8" x14ac:dyDescent="0.2">
      <c r="A232" s="38"/>
      <c r="B232" s="38"/>
      <c r="C232" s="39"/>
      <c r="D232" s="39"/>
      <c r="E232" s="38"/>
      <c r="F232" s="38"/>
      <c r="G232" s="38"/>
      <c r="H232" s="38"/>
    </row>
    <row r="233" spans="1:8" x14ac:dyDescent="0.2">
      <c r="A233" s="38"/>
      <c r="B233" s="38"/>
      <c r="C233" s="39"/>
      <c r="D233" s="39"/>
      <c r="E233" s="38"/>
      <c r="F233" s="38"/>
      <c r="G233" s="38"/>
      <c r="H233" s="38"/>
    </row>
    <row r="234" spans="1:8" x14ac:dyDescent="0.2">
      <c r="A234" s="38"/>
      <c r="B234" s="38"/>
      <c r="C234" s="39"/>
      <c r="D234" s="39"/>
      <c r="E234" s="38"/>
      <c r="F234" s="38"/>
      <c r="G234" s="38"/>
      <c r="H234" s="38"/>
    </row>
    <row r="235" spans="1:8" x14ac:dyDescent="0.2">
      <c r="A235" s="38"/>
      <c r="B235" s="38"/>
      <c r="C235" s="39"/>
      <c r="D235" s="39"/>
      <c r="E235" s="38"/>
      <c r="F235" s="38"/>
      <c r="G235" s="38"/>
      <c r="H235" s="38"/>
    </row>
    <row r="236" spans="1:8" x14ac:dyDescent="0.2">
      <c r="A236" s="38"/>
      <c r="B236" s="38"/>
      <c r="C236" s="39"/>
      <c r="D236" s="39"/>
      <c r="E236" s="38"/>
      <c r="F236" s="38"/>
      <c r="G236" s="38"/>
      <c r="H236" s="38"/>
    </row>
    <row r="237" spans="1:8" x14ac:dyDescent="0.2">
      <c r="A237" s="38"/>
      <c r="B237" s="38"/>
      <c r="C237" s="39"/>
      <c r="D237" s="39"/>
      <c r="E237" s="38"/>
      <c r="F237" s="38"/>
      <c r="G237" s="38"/>
      <c r="H237" s="38"/>
    </row>
    <row r="238" spans="1:8" x14ac:dyDescent="0.2">
      <c r="A238" s="38"/>
      <c r="B238" s="38"/>
      <c r="C238" s="39"/>
      <c r="D238" s="39"/>
      <c r="E238" s="38"/>
      <c r="F238" s="38"/>
      <c r="G238" s="38"/>
      <c r="H238" s="38"/>
    </row>
    <row r="239" spans="1:8" x14ac:dyDescent="0.2">
      <c r="A239" s="38"/>
      <c r="B239" s="38"/>
      <c r="C239" s="39"/>
      <c r="D239" s="39"/>
      <c r="E239" s="38"/>
      <c r="F239" s="38"/>
      <c r="G239" s="38"/>
      <c r="H239" s="38"/>
    </row>
    <row r="240" spans="1:8" x14ac:dyDescent="0.2">
      <c r="A240" s="38"/>
      <c r="B240" s="38"/>
      <c r="C240" s="39"/>
      <c r="D240" s="39"/>
      <c r="E240" s="38"/>
      <c r="F240" s="38"/>
      <c r="G240" s="38"/>
      <c r="H240" s="38"/>
    </row>
    <row r="241" spans="1:8" x14ac:dyDescent="0.2">
      <c r="A241" s="38"/>
      <c r="B241" s="38"/>
      <c r="C241" s="39"/>
      <c r="D241" s="39"/>
      <c r="E241" s="38"/>
      <c r="F241" s="38"/>
      <c r="G241" s="38"/>
      <c r="H241" s="38"/>
    </row>
    <row r="242" spans="1:8" x14ac:dyDescent="0.2">
      <c r="A242" s="38"/>
      <c r="B242" s="38"/>
      <c r="C242" s="39"/>
      <c r="D242" s="39"/>
      <c r="E242" s="38"/>
      <c r="F242" s="38"/>
      <c r="G242" s="38"/>
      <c r="H242" s="38"/>
    </row>
    <row r="243" spans="1:8" x14ac:dyDescent="0.2">
      <c r="A243" s="38"/>
      <c r="B243" s="38"/>
      <c r="C243" s="39"/>
      <c r="D243" s="39"/>
      <c r="E243" s="38"/>
      <c r="F243" s="38"/>
      <c r="G243" s="38"/>
      <c r="H243" s="38"/>
    </row>
    <row r="244" spans="1:8" x14ac:dyDescent="0.2">
      <c r="A244" s="38"/>
      <c r="B244" s="38"/>
      <c r="C244" s="39"/>
      <c r="D244" s="39"/>
      <c r="E244" s="38"/>
      <c r="F244" s="38"/>
      <c r="G244" s="38"/>
      <c r="H244" s="38"/>
    </row>
    <row r="245" spans="1:8" x14ac:dyDescent="0.2">
      <c r="A245" s="38"/>
      <c r="B245" s="38"/>
      <c r="C245" s="39"/>
      <c r="D245" s="39"/>
      <c r="E245" s="38"/>
      <c r="F245" s="38"/>
      <c r="G245" s="38"/>
      <c r="H245" s="38"/>
    </row>
    <row r="246" spans="1:8" x14ac:dyDescent="0.2">
      <c r="A246" s="38"/>
      <c r="B246" s="38"/>
      <c r="C246" s="39"/>
      <c r="D246" s="39"/>
      <c r="E246" s="38"/>
      <c r="F246" s="38"/>
      <c r="G246" s="38"/>
      <c r="H246" s="38"/>
    </row>
    <row r="247" spans="1:8" x14ac:dyDescent="0.2">
      <c r="A247" s="38"/>
      <c r="B247" s="38"/>
      <c r="C247" s="39"/>
      <c r="D247" s="39"/>
      <c r="E247" s="38"/>
      <c r="F247" s="38"/>
      <c r="G247" s="38"/>
      <c r="H247" s="38"/>
    </row>
    <row r="248" spans="1:8" x14ac:dyDescent="0.2">
      <c r="A248" s="38"/>
      <c r="B248" s="38"/>
      <c r="C248" s="39"/>
      <c r="D248" s="39"/>
      <c r="E248" s="38"/>
      <c r="F248" s="38"/>
      <c r="G248" s="38"/>
      <c r="H248" s="38"/>
    </row>
    <row r="249" spans="1:8" x14ac:dyDescent="0.2">
      <c r="A249" s="38"/>
      <c r="B249" s="38"/>
      <c r="C249" s="39"/>
      <c r="D249" s="39"/>
      <c r="E249" s="38"/>
      <c r="F249" s="38"/>
      <c r="G249" s="38"/>
      <c r="H249" s="38"/>
    </row>
    <row r="250" spans="1:8" x14ac:dyDescent="0.2">
      <c r="A250" s="38"/>
      <c r="B250" s="38"/>
      <c r="C250" s="39"/>
      <c r="D250" s="39"/>
      <c r="E250" s="38"/>
      <c r="F250" s="38"/>
      <c r="G250" s="38"/>
      <c r="H250" s="38"/>
    </row>
    <row r="251" spans="1:8" x14ac:dyDescent="0.2">
      <c r="A251" s="38"/>
      <c r="B251" s="38"/>
      <c r="C251" s="39"/>
      <c r="D251" s="39"/>
      <c r="E251" s="38"/>
      <c r="F251" s="38"/>
      <c r="G251" s="38"/>
      <c r="H251" s="38"/>
    </row>
    <row r="252" spans="1:8" x14ac:dyDescent="0.2">
      <c r="A252" s="38"/>
      <c r="B252" s="38"/>
      <c r="C252" s="39"/>
      <c r="D252" s="39"/>
      <c r="E252" s="38"/>
      <c r="F252" s="38"/>
      <c r="G252" s="38"/>
      <c r="H252" s="38"/>
    </row>
    <row r="253" spans="1:8" x14ac:dyDescent="0.2">
      <c r="A253" s="38"/>
      <c r="B253" s="38"/>
      <c r="C253" s="39"/>
      <c r="D253" s="39"/>
      <c r="E253" s="38"/>
      <c r="F253" s="38"/>
      <c r="G253" s="38"/>
      <c r="H253" s="38"/>
    </row>
    <row r="254" spans="1:8" x14ac:dyDescent="0.2">
      <c r="A254" s="38"/>
      <c r="B254" s="38"/>
      <c r="C254" s="39"/>
      <c r="D254" s="39"/>
      <c r="E254" s="38"/>
      <c r="F254" s="38"/>
      <c r="G254" s="38"/>
      <c r="H254" s="38"/>
    </row>
    <row r="255" spans="1:8" x14ac:dyDescent="0.2">
      <c r="A255" s="38"/>
      <c r="B255" s="38"/>
      <c r="C255" s="39"/>
      <c r="D255" s="39"/>
      <c r="E255" s="38"/>
      <c r="F255" s="38"/>
      <c r="G255" s="38"/>
      <c r="H255" s="38"/>
    </row>
    <row r="256" spans="1:8" x14ac:dyDescent="0.2">
      <c r="A256" s="38"/>
      <c r="B256" s="38"/>
      <c r="C256" s="39"/>
      <c r="D256" s="39"/>
      <c r="E256" s="38"/>
      <c r="F256" s="38"/>
      <c r="G256" s="38"/>
      <c r="H256" s="38"/>
    </row>
    <row r="257" spans="1:8" x14ac:dyDescent="0.2">
      <c r="A257" s="38"/>
      <c r="B257" s="38"/>
      <c r="C257" s="39"/>
      <c r="D257" s="39"/>
      <c r="E257" s="38"/>
      <c r="F257" s="38"/>
      <c r="G257" s="38"/>
      <c r="H257" s="38"/>
    </row>
    <row r="258" spans="1:8" x14ac:dyDescent="0.2">
      <c r="A258" s="38"/>
      <c r="B258" s="38"/>
      <c r="C258" s="39"/>
      <c r="D258" s="39"/>
      <c r="E258" s="38"/>
      <c r="F258" s="38"/>
      <c r="G258" s="38"/>
      <c r="H258" s="38"/>
    </row>
    <row r="259" spans="1:8" x14ac:dyDescent="0.2">
      <c r="A259" s="38"/>
      <c r="B259" s="38"/>
      <c r="C259" s="39"/>
      <c r="D259" s="39"/>
      <c r="E259" s="38"/>
      <c r="F259" s="38"/>
      <c r="G259" s="38"/>
      <c r="H259" s="38"/>
    </row>
    <row r="260" spans="1:8" x14ac:dyDescent="0.2">
      <c r="A260" s="38"/>
      <c r="B260" s="38"/>
      <c r="C260" s="39"/>
      <c r="D260" s="39"/>
      <c r="E260" s="38"/>
      <c r="F260" s="38"/>
      <c r="G260" s="38"/>
      <c r="H260" s="38"/>
    </row>
    <row r="261" spans="1:8" x14ac:dyDescent="0.2">
      <c r="A261" s="38"/>
      <c r="B261" s="38"/>
      <c r="C261" s="39"/>
      <c r="D261" s="39"/>
      <c r="E261" s="38"/>
      <c r="F261" s="38"/>
      <c r="G261" s="38"/>
      <c r="H261" s="38"/>
    </row>
    <row r="262" spans="1:8" x14ac:dyDescent="0.2">
      <c r="A262" s="38"/>
      <c r="B262" s="38"/>
      <c r="C262" s="39"/>
      <c r="D262" s="39"/>
      <c r="E262" s="38"/>
      <c r="F262" s="38"/>
      <c r="G262" s="38"/>
      <c r="H262" s="38"/>
    </row>
    <row r="263" spans="1:8" x14ac:dyDescent="0.2">
      <c r="A263" s="38"/>
      <c r="B263" s="38"/>
      <c r="C263" s="39"/>
      <c r="D263" s="39"/>
      <c r="E263" s="38"/>
      <c r="F263" s="38"/>
      <c r="G263" s="38"/>
      <c r="H263" s="38"/>
    </row>
    <row r="264" spans="1:8" x14ac:dyDescent="0.2">
      <c r="A264" s="38"/>
      <c r="B264" s="38"/>
      <c r="C264" s="39"/>
      <c r="D264" s="39"/>
      <c r="E264" s="38"/>
      <c r="F264" s="38"/>
      <c r="G264" s="38"/>
      <c r="H264" s="38"/>
    </row>
    <row r="265" spans="1:8" x14ac:dyDescent="0.2">
      <c r="A265" s="38"/>
      <c r="B265" s="38"/>
      <c r="C265" s="39"/>
      <c r="D265" s="39"/>
      <c r="E265" s="38"/>
      <c r="F265" s="38"/>
      <c r="G265" s="38"/>
      <c r="H265" s="38"/>
    </row>
    <row r="266" spans="1:8" x14ac:dyDescent="0.2">
      <c r="A266" s="38"/>
      <c r="B266" s="38"/>
      <c r="C266" s="39"/>
      <c r="D266" s="39"/>
      <c r="E266" s="38"/>
      <c r="F266" s="38"/>
      <c r="G266" s="38"/>
      <c r="H266" s="38"/>
    </row>
    <row r="267" spans="1:8" x14ac:dyDescent="0.2">
      <c r="A267" s="38"/>
      <c r="B267" s="38"/>
      <c r="C267" s="39"/>
      <c r="D267" s="39"/>
      <c r="E267" s="38"/>
      <c r="F267" s="38"/>
      <c r="G267" s="38"/>
      <c r="H267" s="38"/>
    </row>
    <row r="268" spans="1:8" x14ac:dyDescent="0.2">
      <c r="A268" s="38"/>
      <c r="B268" s="38"/>
      <c r="C268" s="39"/>
      <c r="D268" s="39"/>
      <c r="E268" s="38"/>
      <c r="F268" s="38"/>
      <c r="G268" s="38"/>
      <c r="H268" s="38"/>
    </row>
    <row r="269" spans="1:8" x14ac:dyDescent="0.2">
      <c r="A269" s="38"/>
      <c r="B269" s="38"/>
      <c r="C269" s="39"/>
      <c r="D269" s="39"/>
      <c r="E269" s="38"/>
      <c r="F269" s="38"/>
      <c r="G269" s="38"/>
      <c r="H269" s="38"/>
    </row>
    <row r="270" spans="1:8" x14ac:dyDescent="0.2">
      <c r="A270" s="38"/>
      <c r="B270" s="38"/>
      <c r="C270" s="39"/>
      <c r="D270" s="39"/>
      <c r="E270" s="38"/>
      <c r="F270" s="38"/>
      <c r="G270" s="38"/>
      <c r="H270" s="38"/>
    </row>
    <row r="271" spans="1:8" x14ac:dyDescent="0.2">
      <c r="A271" s="38"/>
      <c r="B271" s="38"/>
      <c r="C271" s="39"/>
      <c r="D271" s="39"/>
      <c r="E271" s="38"/>
      <c r="F271" s="38"/>
      <c r="G271" s="38"/>
      <c r="H271" s="38"/>
    </row>
    <row r="272" spans="1:8" x14ac:dyDescent="0.2">
      <c r="A272" s="38"/>
      <c r="B272" s="38"/>
      <c r="C272" s="39"/>
      <c r="D272" s="39"/>
      <c r="E272" s="38"/>
      <c r="F272" s="38"/>
      <c r="G272" s="38"/>
      <c r="H272" s="38"/>
    </row>
    <row r="273" spans="1:8" x14ac:dyDescent="0.2">
      <c r="A273" s="38"/>
      <c r="B273" s="38"/>
      <c r="C273" s="39"/>
      <c r="D273" s="39"/>
      <c r="E273" s="38"/>
      <c r="F273" s="38"/>
      <c r="G273" s="38"/>
      <c r="H273" s="38"/>
    </row>
    <row r="274" spans="1:8" x14ac:dyDescent="0.2">
      <c r="A274" s="38"/>
      <c r="B274" s="38"/>
      <c r="C274" s="39"/>
      <c r="D274" s="39"/>
      <c r="E274" s="38"/>
      <c r="F274" s="38"/>
      <c r="G274" s="38"/>
      <c r="H274" s="38"/>
    </row>
    <row r="275" spans="1:8" x14ac:dyDescent="0.2">
      <c r="A275" s="38"/>
      <c r="B275" s="38"/>
      <c r="C275" s="39"/>
      <c r="D275" s="39"/>
      <c r="E275" s="38"/>
      <c r="F275" s="38"/>
      <c r="G275" s="38"/>
      <c r="H275" s="38"/>
    </row>
    <row r="276" spans="1:8" x14ac:dyDescent="0.2">
      <c r="A276" s="38"/>
      <c r="B276" s="38"/>
      <c r="C276" s="39"/>
      <c r="D276" s="39"/>
      <c r="E276" s="38"/>
      <c r="F276" s="38"/>
      <c r="G276" s="38"/>
      <c r="H276" s="38"/>
    </row>
    <row r="277" spans="1:8" x14ac:dyDescent="0.2">
      <c r="A277" s="38"/>
      <c r="B277" s="38"/>
      <c r="C277" s="39"/>
      <c r="D277" s="39"/>
      <c r="E277" s="38"/>
      <c r="F277" s="38"/>
      <c r="G277" s="38"/>
      <c r="H277" s="38"/>
    </row>
    <row r="278" spans="1:8" x14ac:dyDescent="0.2">
      <c r="A278" s="38"/>
      <c r="B278" s="38"/>
      <c r="C278" s="39"/>
      <c r="D278" s="39"/>
      <c r="E278" s="38"/>
      <c r="F278" s="38"/>
      <c r="G278" s="38"/>
      <c r="H278" s="38"/>
    </row>
    <row r="279" spans="1:8" x14ac:dyDescent="0.2">
      <c r="A279" s="38"/>
      <c r="B279" s="38"/>
      <c r="C279" s="39"/>
      <c r="D279" s="39"/>
      <c r="E279" s="38"/>
      <c r="F279" s="38"/>
      <c r="G279" s="38"/>
      <c r="H279" s="38"/>
    </row>
    <row r="280" spans="1:8" x14ac:dyDescent="0.2">
      <c r="A280" s="38"/>
      <c r="B280" s="38"/>
      <c r="C280" s="39"/>
      <c r="D280" s="39"/>
      <c r="E280" s="38"/>
      <c r="F280" s="38"/>
      <c r="G280" s="38"/>
      <c r="H280" s="38"/>
    </row>
    <row r="281" spans="1:8" x14ac:dyDescent="0.2">
      <c r="A281" s="38"/>
      <c r="B281" s="38"/>
      <c r="C281" s="39"/>
      <c r="D281" s="39"/>
      <c r="E281" s="38"/>
      <c r="F281" s="38"/>
      <c r="G281" s="38"/>
      <c r="H281" s="38"/>
    </row>
    <row r="282" spans="1:8" x14ac:dyDescent="0.2">
      <c r="A282" s="38"/>
      <c r="B282" s="38"/>
      <c r="C282" s="39"/>
      <c r="D282" s="39"/>
      <c r="E282" s="38"/>
      <c r="F282" s="38"/>
      <c r="G282" s="38"/>
      <c r="H282" s="38"/>
    </row>
    <row r="283" spans="1:8" x14ac:dyDescent="0.2">
      <c r="A283" s="38"/>
      <c r="B283" s="38"/>
      <c r="C283" s="39"/>
      <c r="D283" s="39"/>
      <c r="E283" s="38"/>
      <c r="F283" s="38"/>
      <c r="G283" s="38"/>
      <c r="H283" s="38"/>
    </row>
    <row r="284" spans="1:8" x14ac:dyDescent="0.2">
      <c r="A284" s="38"/>
      <c r="B284" s="38"/>
      <c r="C284" s="39"/>
      <c r="D284" s="39"/>
      <c r="E284" s="38"/>
      <c r="F284" s="38"/>
      <c r="G284" s="38"/>
      <c r="H284" s="38"/>
    </row>
    <row r="285" spans="1:8" x14ac:dyDescent="0.2">
      <c r="A285" s="38"/>
      <c r="B285" s="38"/>
      <c r="C285" s="39"/>
      <c r="D285" s="39"/>
      <c r="E285" s="38"/>
      <c r="F285" s="38"/>
      <c r="G285" s="38"/>
      <c r="H285" s="38"/>
    </row>
    <row r="286" spans="1:8" x14ac:dyDescent="0.2">
      <c r="A286" s="38"/>
      <c r="B286" s="38"/>
      <c r="C286" s="39"/>
      <c r="D286" s="39"/>
      <c r="E286" s="38"/>
      <c r="F286" s="38"/>
      <c r="G286" s="38"/>
      <c r="H286" s="38"/>
    </row>
    <row r="287" spans="1:8" x14ac:dyDescent="0.2">
      <c r="A287" s="38"/>
      <c r="B287" s="38"/>
      <c r="C287" s="39"/>
      <c r="D287" s="39"/>
      <c r="E287" s="38"/>
      <c r="F287" s="38"/>
      <c r="G287" s="38"/>
      <c r="H287" s="38"/>
    </row>
    <row r="288" spans="1:8" x14ac:dyDescent="0.2">
      <c r="A288" s="38"/>
      <c r="B288" s="38"/>
      <c r="C288" s="39"/>
      <c r="D288" s="39"/>
      <c r="E288" s="38"/>
      <c r="F288" s="38"/>
      <c r="G288" s="38"/>
      <c r="H288" s="38"/>
    </row>
  </sheetData>
  <mergeCells count="12">
    <mergeCell ref="A1:H1"/>
    <mergeCell ref="A2:H2"/>
    <mergeCell ref="A45:A56"/>
    <mergeCell ref="A18:B18"/>
    <mergeCell ref="A19:A30"/>
    <mergeCell ref="A31:B31"/>
    <mergeCell ref="A32:A43"/>
    <mergeCell ref="A4:A5"/>
    <mergeCell ref="A44:B44"/>
    <mergeCell ref="A58:B58"/>
    <mergeCell ref="A57:B57"/>
    <mergeCell ref="A6:A17"/>
  </mergeCells>
  <phoneticPr fontId="3" type="noConversion"/>
  <printOptions horizontalCentered="1"/>
  <pageMargins left="0.59055118110236227" right="0.59055118110236227" top="0.78740157480314965" bottom="0.39370078740157483" header="0.51181102362204722" footer="0.51181102362204722"/>
  <pageSetup scale="59" orientation="landscape" r:id="rId1"/>
  <headerFooter alignWithMargins="0"/>
  <rowBreaks count="1" manualBreakCount="1">
    <brk id="6" max="16383" man="1"/>
  </rowBreaks>
  <colBreaks count="1" manualBreakCount="1">
    <brk id="3" max="1048575" man="1"/>
  </colBreaks>
  <ignoredErrors>
    <ignoredError sqref="C18 C57:C58 G6:G8 F58 G58 H58 D31:E31 D44:E44 C44 C31 D57:D58 E57:E58 G18 G19:G21 G9:G11 G22:G24 G48:G50 G35:G37 G45:G47 G31:G34 G12:G14 G25:G27 G38:G40 G51:G53 G15:G17 G28:G30 G41:G44 G54:G5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8"/>
  <sheetViews>
    <sheetView showGridLines="0" topLeftCell="D1" zoomScaleNormal="100" zoomScaleSheetLayoutView="100" workbookViewId="0">
      <selection activeCell="H8" sqref="H8"/>
    </sheetView>
  </sheetViews>
  <sheetFormatPr baseColWidth="10" defaultRowHeight="12.75" x14ac:dyDescent="0.2"/>
  <cols>
    <col min="1" max="1" width="12.5703125" style="27" customWidth="1"/>
    <col min="2" max="2" width="14.5703125" style="27" customWidth="1"/>
    <col min="3" max="3" width="14" style="40" customWidth="1"/>
    <col min="4" max="4" width="22.5703125" style="40" customWidth="1"/>
    <col min="5" max="5" width="21.85546875" style="27" customWidth="1"/>
    <col min="6" max="6" width="14" style="40" customWidth="1"/>
    <col min="7" max="7" width="22.5703125" style="40" customWidth="1"/>
    <col min="8" max="8" width="21.85546875" style="27" customWidth="1"/>
    <col min="9" max="9" width="15.42578125" style="27" bestFit="1" customWidth="1"/>
    <col min="10" max="10" width="21.42578125" style="27" bestFit="1" customWidth="1"/>
    <col min="11" max="11" width="16.42578125" style="27" bestFit="1" customWidth="1"/>
    <col min="12" max="16384" width="11.42578125" style="27"/>
  </cols>
  <sheetData>
    <row r="1" spans="1:11" ht="28.5" customHeight="1" x14ac:dyDescent="0.3">
      <c r="A1" s="259" t="s">
        <v>312</v>
      </c>
      <c r="B1" s="259"/>
      <c r="C1" s="259"/>
      <c r="D1" s="259"/>
      <c r="E1" s="259"/>
      <c r="F1" s="259"/>
      <c r="G1" s="259"/>
      <c r="H1" s="259"/>
      <c r="I1" s="259"/>
      <c r="J1" s="259"/>
      <c r="K1" s="259"/>
    </row>
    <row r="2" spans="1:11" ht="28.5" customHeight="1" x14ac:dyDescent="0.3">
      <c r="A2" s="259" t="s">
        <v>1198</v>
      </c>
      <c r="B2" s="259"/>
      <c r="C2" s="259"/>
      <c r="D2" s="259"/>
      <c r="E2" s="259"/>
      <c r="F2" s="259"/>
      <c r="G2" s="259"/>
      <c r="H2" s="259"/>
      <c r="I2" s="259"/>
      <c r="J2" s="259"/>
      <c r="K2" s="259"/>
    </row>
    <row r="3" spans="1:11" ht="15" x14ac:dyDescent="0.2">
      <c r="A3" s="28"/>
      <c r="B3" s="28"/>
      <c r="C3" s="29"/>
      <c r="D3" s="29"/>
      <c r="E3" s="28"/>
      <c r="F3" s="29"/>
      <c r="G3" s="29"/>
      <c r="H3" s="28"/>
      <c r="I3" s="28"/>
      <c r="J3" s="28"/>
      <c r="K3" s="30"/>
    </row>
    <row r="4" spans="1:11" ht="15" customHeight="1" x14ac:dyDescent="0.25">
      <c r="A4" s="257" t="s">
        <v>139</v>
      </c>
      <c r="B4" s="257" t="s">
        <v>140</v>
      </c>
      <c r="C4" s="43" t="s">
        <v>250</v>
      </c>
      <c r="D4" s="43"/>
      <c r="E4" s="43"/>
      <c r="F4" s="43" t="s">
        <v>251</v>
      </c>
      <c r="G4" s="42"/>
      <c r="H4" s="42"/>
      <c r="I4" s="43" t="s">
        <v>252</v>
      </c>
      <c r="J4" s="42"/>
      <c r="K4" s="42"/>
    </row>
    <row r="5" spans="1:11" s="33" customFormat="1" ht="47.25" customHeight="1" x14ac:dyDescent="0.2">
      <c r="A5" s="258"/>
      <c r="B5" s="260"/>
      <c r="C5" s="31" t="s">
        <v>159</v>
      </c>
      <c r="D5" s="32" t="s">
        <v>141</v>
      </c>
      <c r="E5" s="31" t="s">
        <v>160</v>
      </c>
      <c r="F5" s="31" t="s">
        <v>159</v>
      </c>
      <c r="G5" s="32" t="s">
        <v>141</v>
      </c>
      <c r="H5" s="31" t="s">
        <v>160</v>
      </c>
      <c r="I5" s="31" t="s">
        <v>161</v>
      </c>
      <c r="J5" s="32" t="s">
        <v>141</v>
      </c>
      <c r="K5" s="31" t="s">
        <v>162</v>
      </c>
    </row>
    <row r="6" spans="1:11" ht="15.75" customHeight="1" x14ac:dyDescent="0.2">
      <c r="A6" s="256" t="s">
        <v>134</v>
      </c>
      <c r="B6" s="34" t="s">
        <v>142</v>
      </c>
      <c r="C6" s="80">
        <v>597</v>
      </c>
      <c r="D6" s="66">
        <f>+E6/C6</f>
        <v>7747463.7922042133</v>
      </c>
      <c r="E6" s="66">
        <v>4625235883.9459152</v>
      </c>
      <c r="F6" s="80">
        <f>+'5a'!C6</f>
        <v>382</v>
      </c>
      <c r="G6" s="66">
        <f>IF(F6=0,0,H6/F6)</f>
        <v>7730083.7696335083</v>
      </c>
      <c r="H6" s="66">
        <f>+'5a'!E6</f>
        <v>2952892000</v>
      </c>
      <c r="I6" s="67">
        <f>+F6/C6</f>
        <v>0.63986599664991628</v>
      </c>
      <c r="J6" s="67">
        <f>+G6/D6</f>
        <v>0.99775668231090109</v>
      </c>
      <c r="K6" s="67">
        <f>+H6/E6</f>
        <v>0.63843057394097857</v>
      </c>
    </row>
    <row r="7" spans="1:11" ht="15" x14ac:dyDescent="0.2">
      <c r="A7" s="256"/>
      <c r="B7" s="34" t="s">
        <v>143</v>
      </c>
      <c r="C7" s="80">
        <v>367</v>
      </c>
      <c r="D7" s="66">
        <f t="shared" ref="D7:D17" si="0">+E7/C7</f>
        <v>7809313.9292124584</v>
      </c>
      <c r="E7" s="66">
        <v>2866018212.0209723</v>
      </c>
      <c r="F7" s="80">
        <f>+'5a'!C7</f>
        <v>978</v>
      </c>
      <c r="G7" s="66">
        <f>IF(F7=0,0,H7/F7)</f>
        <v>7892192.0628129346</v>
      </c>
      <c r="H7" s="66">
        <f>+'5a'!E7</f>
        <v>7718563837.4310503</v>
      </c>
      <c r="I7" s="67">
        <f t="shared" ref="I7:I17" si="1">+F7/C7</f>
        <v>2.6648501362397821</v>
      </c>
      <c r="J7" s="67">
        <f t="shared" ref="J7:J17" si="2">+G7/D7</f>
        <v>1.0106127291528713</v>
      </c>
      <c r="K7" s="67">
        <f t="shared" ref="K7:K17" si="3">+H7/E7</f>
        <v>2.6931314689686867</v>
      </c>
    </row>
    <row r="8" spans="1:11" ht="15" x14ac:dyDescent="0.2">
      <c r="A8" s="256"/>
      <c r="B8" s="34" t="s">
        <v>144</v>
      </c>
      <c r="C8" s="80">
        <v>704</v>
      </c>
      <c r="D8" s="66">
        <f t="shared" si="0"/>
        <v>7835847.2658959264</v>
      </c>
      <c r="E8" s="66">
        <v>5516436475.190732</v>
      </c>
      <c r="F8" s="80">
        <f>+'5a'!C8</f>
        <v>1390</v>
      </c>
      <c r="G8" s="66">
        <f>IF(F8=0,0,H8/F8)</f>
        <v>7535614.2436337983</v>
      </c>
      <c r="H8" s="66">
        <f>+'5a'!E8</f>
        <v>10474503798.65098</v>
      </c>
      <c r="I8" s="67">
        <f t="shared" si="1"/>
        <v>1.9744318181818181</v>
      </c>
      <c r="J8" s="67">
        <f t="shared" si="2"/>
        <v>0.96168467658005063</v>
      </c>
      <c r="K8" s="67">
        <f t="shared" si="3"/>
        <v>1.8987808244975433</v>
      </c>
    </row>
    <row r="9" spans="1:11" ht="15" x14ac:dyDescent="0.2">
      <c r="A9" s="256"/>
      <c r="B9" s="34" t="s">
        <v>145</v>
      </c>
      <c r="C9" s="80">
        <v>386</v>
      </c>
      <c r="D9" s="66">
        <f t="shared" si="0"/>
        <v>7854597.1181345731</v>
      </c>
      <c r="E9" s="66">
        <v>3031874487.5999451</v>
      </c>
      <c r="F9" s="80">
        <f>+'5a'!C9</f>
        <v>0</v>
      </c>
      <c r="G9" s="66">
        <f>IF(F9=0,0,H9/F9)</f>
        <v>0</v>
      </c>
      <c r="H9" s="66">
        <f>+'5a'!E9</f>
        <v>0</v>
      </c>
      <c r="I9" s="67">
        <f t="shared" si="1"/>
        <v>0</v>
      </c>
      <c r="J9" s="67">
        <f t="shared" si="2"/>
        <v>0</v>
      </c>
      <c r="K9" s="67">
        <f t="shared" si="3"/>
        <v>0</v>
      </c>
    </row>
    <row r="10" spans="1:11" ht="15" x14ac:dyDescent="0.2">
      <c r="A10" s="256"/>
      <c r="B10" s="34" t="s">
        <v>146</v>
      </c>
      <c r="C10" s="80">
        <v>367</v>
      </c>
      <c r="D10" s="66">
        <f t="shared" si="0"/>
        <v>7873588.3242919156</v>
      </c>
      <c r="E10" s="66">
        <v>2889606915.0151329</v>
      </c>
      <c r="F10" s="80">
        <f>+'5a'!C10</f>
        <v>0</v>
      </c>
      <c r="G10" s="66">
        <f t="shared" ref="G10:G17" si="4">IF(F10=0,0,H10/F10)</f>
        <v>0</v>
      </c>
      <c r="H10" s="66">
        <f>+'5a'!E10</f>
        <v>0</v>
      </c>
      <c r="I10" s="67">
        <f t="shared" si="1"/>
        <v>0</v>
      </c>
      <c r="J10" s="67">
        <f t="shared" si="2"/>
        <v>0</v>
      </c>
      <c r="K10" s="67">
        <f t="shared" si="3"/>
        <v>0</v>
      </c>
    </row>
    <row r="11" spans="1:11" ht="15" x14ac:dyDescent="0.2">
      <c r="A11" s="256"/>
      <c r="B11" s="34" t="s">
        <v>147</v>
      </c>
      <c r="C11" s="80">
        <v>247</v>
      </c>
      <c r="D11" s="66">
        <f t="shared" si="0"/>
        <v>7915874.1105284011</v>
      </c>
      <c r="E11" s="66">
        <v>1955220905.3005152</v>
      </c>
      <c r="F11" s="80">
        <f>+'5a'!C11</f>
        <v>0</v>
      </c>
      <c r="G11" s="66">
        <f t="shared" si="4"/>
        <v>0</v>
      </c>
      <c r="H11" s="66">
        <f>+'5a'!E11</f>
        <v>0</v>
      </c>
      <c r="I11" s="67">
        <f t="shared" si="1"/>
        <v>0</v>
      </c>
      <c r="J11" s="67">
        <f t="shared" si="2"/>
        <v>0</v>
      </c>
      <c r="K11" s="67">
        <f t="shared" si="3"/>
        <v>0</v>
      </c>
    </row>
    <row r="12" spans="1:11" ht="15" x14ac:dyDescent="0.2">
      <c r="A12" s="256"/>
      <c r="B12" s="34" t="s">
        <v>148</v>
      </c>
      <c r="C12" s="80">
        <v>535</v>
      </c>
      <c r="D12" s="66">
        <f t="shared" si="0"/>
        <v>7945914.2003354169</v>
      </c>
      <c r="E12" s="66">
        <v>4251064097.1794481</v>
      </c>
      <c r="F12" s="80">
        <f>+'5a'!C12</f>
        <v>0</v>
      </c>
      <c r="G12" s="66">
        <f t="shared" si="4"/>
        <v>0</v>
      </c>
      <c r="H12" s="66">
        <f>+'5a'!E12</f>
        <v>0</v>
      </c>
      <c r="I12" s="67">
        <f t="shared" si="1"/>
        <v>0</v>
      </c>
      <c r="J12" s="67">
        <f t="shared" si="2"/>
        <v>0</v>
      </c>
      <c r="K12" s="67">
        <f t="shared" si="3"/>
        <v>0</v>
      </c>
    </row>
    <row r="13" spans="1:11" ht="15" x14ac:dyDescent="0.2">
      <c r="A13" s="256"/>
      <c r="B13" s="34" t="s">
        <v>149</v>
      </c>
      <c r="C13" s="80">
        <v>434</v>
      </c>
      <c r="D13" s="66">
        <f t="shared" si="0"/>
        <v>7947519.9386416497</v>
      </c>
      <c r="E13" s="66">
        <v>3449223653.3704758</v>
      </c>
      <c r="F13" s="80">
        <f>+'5a'!C13</f>
        <v>0</v>
      </c>
      <c r="G13" s="66">
        <f t="shared" si="4"/>
        <v>0</v>
      </c>
      <c r="H13" s="66">
        <f>+'5a'!E13</f>
        <v>0</v>
      </c>
      <c r="I13" s="67">
        <f t="shared" si="1"/>
        <v>0</v>
      </c>
      <c r="J13" s="67">
        <f t="shared" si="2"/>
        <v>0</v>
      </c>
      <c r="K13" s="67">
        <f t="shared" si="3"/>
        <v>0</v>
      </c>
    </row>
    <row r="14" spans="1:11" ht="15" x14ac:dyDescent="0.2">
      <c r="A14" s="256"/>
      <c r="B14" s="34" t="s">
        <v>150</v>
      </c>
      <c r="C14" s="80">
        <v>716</v>
      </c>
      <c r="D14" s="66">
        <f t="shared" si="0"/>
        <v>8026322.2507307595</v>
      </c>
      <c r="E14" s="66">
        <v>5746846731.5232239</v>
      </c>
      <c r="F14" s="80">
        <f>+'5a'!C14</f>
        <v>0</v>
      </c>
      <c r="G14" s="66">
        <f t="shared" si="4"/>
        <v>0</v>
      </c>
      <c r="H14" s="66">
        <f>+'5a'!E14</f>
        <v>0</v>
      </c>
      <c r="I14" s="67">
        <f t="shared" si="1"/>
        <v>0</v>
      </c>
      <c r="J14" s="67">
        <f t="shared" si="2"/>
        <v>0</v>
      </c>
      <c r="K14" s="67">
        <f t="shared" si="3"/>
        <v>0</v>
      </c>
    </row>
    <row r="15" spans="1:11" ht="15" x14ac:dyDescent="0.2">
      <c r="A15" s="256"/>
      <c r="B15" s="34" t="s">
        <v>151</v>
      </c>
      <c r="C15" s="80">
        <v>589</v>
      </c>
      <c r="D15" s="66">
        <f t="shared" si="0"/>
        <v>8054236.9270117749</v>
      </c>
      <c r="E15" s="66">
        <v>4743945550.0099354</v>
      </c>
      <c r="F15" s="80">
        <f>+'5a'!C15</f>
        <v>0</v>
      </c>
      <c r="G15" s="66">
        <f t="shared" si="4"/>
        <v>0</v>
      </c>
      <c r="H15" s="66">
        <f>+'5a'!E15</f>
        <v>0</v>
      </c>
      <c r="I15" s="67">
        <f t="shared" si="1"/>
        <v>0</v>
      </c>
      <c r="J15" s="67">
        <f t="shared" si="2"/>
        <v>0</v>
      </c>
      <c r="K15" s="67">
        <f t="shared" si="3"/>
        <v>0</v>
      </c>
    </row>
    <row r="16" spans="1:11" ht="15" x14ac:dyDescent="0.2">
      <c r="A16" s="256"/>
      <c r="B16" s="34" t="s">
        <v>152</v>
      </c>
      <c r="C16" s="80">
        <v>338</v>
      </c>
      <c r="D16" s="66">
        <f t="shared" si="0"/>
        <v>8074147.5712656183</v>
      </c>
      <c r="E16" s="66">
        <v>2729061879.087779</v>
      </c>
      <c r="F16" s="80">
        <f>+'5a'!C16</f>
        <v>0</v>
      </c>
      <c r="G16" s="66">
        <f t="shared" si="4"/>
        <v>0</v>
      </c>
      <c r="H16" s="66">
        <f>+'5a'!E16</f>
        <v>0</v>
      </c>
      <c r="I16" s="67">
        <f t="shared" si="1"/>
        <v>0</v>
      </c>
      <c r="J16" s="67">
        <f t="shared" si="2"/>
        <v>0</v>
      </c>
      <c r="K16" s="67">
        <f t="shared" si="3"/>
        <v>0</v>
      </c>
    </row>
    <row r="17" spans="1:11" ht="15" x14ac:dyDescent="0.2">
      <c r="A17" s="256"/>
      <c r="B17" s="34" t="s">
        <v>153</v>
      </c>
      <c r="C17" s="80">
        <v>352</v>
      </c>
      <c r="D17" s="66">
        <f t="shared" si="0"/>
        <v>8087173.8520893781</v>
      </c>
      <c r="E17" s="66">
        <v>2846685195.935461</v>
      </c>
      <c r="F17" s="80">
        <f>+'5a'!C17</f>
        <v>0</v>
      </c>
      <c r="G17" s="66">
        <f t="shared" si="4"/>
        <v>0</v>
      </c>
      <c r="H17" s="66">
        <f>+'5a'!E17</f>
        <v>0</v>
      </c>
      <c r="I17" s="67">
        <f t="shared" si="1"/>
        <v>0</v>
      </c>
      <c r="J17" s="67">
        <f t="shared" si="2"/>
        <v>0</v>
      </c>
      <c r="K17" s="67">
        <f t="shared" si="3"/>
        <v>0</v>
      </c>
    </row>
    <row r="18" spans="1:11" s="37" customFormat="1" ht="15.75" x14ac:dyDescent="0.2">
      <c r="A18" s="254" t="s">
        <v>154</v>
      </c>
      <c r="B18" s="255"/>
      <c r="C18" s="79">
        <f>SUM(C6:C17)</f>
        <v>5632</v>
      </c>
      <c r="D18" s="45">
        <f>IF(C18=0,0,E18/C18)</f>
        <v>7928128.5486824457</v>
      </c>
      <c r="E18" s="45">
        <f>SUM(E6:E17)</f>
        <v>44651219986.179535</v>
      </c>
      <c r="F18" s="79">
        <f>SUM(F6:F17)</f>
        <v>2750</v>
      </c>
      <c r="G18" s="45">
        <f>IF(F18=0,0,H18/F18)</f>
        <v>7689439.8676661933</v>
      </c>
      <c r="H18" s="45">
        <f>SUM(H6:H17)</f>
        <v>21145959636.082031</v>
      </c>
      <c r="I18" s="68">
        <f>+F18/C18</f>
        <v>0.48828125</v>
      </c>
      <c r="J18" s="69">
        <f t="shared" ref="J18:J30" si="5">+G18/D18</f>
        <v>0.96989343959919527</v>
      </c>
      <c r="K18" s="69">
        <f t="shared" ref="K18:K30" si="6">+H18/E18</f>
        <v>0.47358078105429458</v>
      </c>
    </row>
    <row r="19" spans="1:11" ht="15.75" customHeight="1" x14ac:dyDescent="0.2">
      <c r="A19" s="256" t="s">
        <v>135</v>
      </c>
      <c r="B19" s="34" t="s">
        <v>142</v>
      </c>
      <c r="C19" s="80">
        <v>102</v>
      </c>
      <c r="D19" s="66">
        <f>+E19/C19</f>
        <v>15528577.012975968</v>
      </c>
      <c r="E19" s="66">
        <v>1583914855.3235488</v>
      </c>
      <c r="F19" s="80">
        <f>+'5a'!C19</f>
        <v>146</v>
      </c>
      <c r="G19" s="66">
        <f>IF(F19=0,0,H19/F19)</f>
        <v>8104416.2836301373</v>
      </c>
      <c r="H19" s="66">
        <f>+'5a'!E19</f>
        <v>1183244777.4100001</v>
      </c>
      <c r="I19" s="67">
        <f>+F19/C19</f>
        <v>1.4313725490196079</v>
      </c>
      <c r="J19" s="67">
        <f t="shared" si="5"/>
        <v>0.52190334483693746</v>
      </c>
      <c r="K19" s="67">
        <f t="shared" si="6"/>
        <v>0.74703812104110656</v>
      </c>
    </row>
    <row r="20" spans="1:11" ht="15" x14ac:dyDescent="0.2">
      <c r="A20" s="256"/>
      <c r="B20" s="34" t="s">
        <v>143</v>
      </c>
      <c r="C20" s="80">
        <v>144</v>
      </c>
      <c r="D20" s="66">
        <f t="shared" ref="D20:D30" si="7">+E20/C20</f>
        <v>15624133.714741893</v>
      </c>
      <c r="E20" s="66">
        <v>2249875254.9228325</v>
      </c>
      <c r="F20" s="80">
        <f>+'5a'!C20</f>
        <v>350</v>
      </c>
      <c r="G20" s="66">
        <f>IF(F20=0,0,H20/F20)</f>
        <v>15188015.9012</v>
      </c>
      <c r="H20" s="66">
        <f>+'5a'!E20</f>
        <v>5315805565.4200001</v>
      </c>
      <c r="I20" s="67">
        <f t="shared" ref="I20:I31" si="8">+F20/C20</f>
        <v>2.4305555555555554</v>
      </c>
      <c r="J20" s="67">
        <f t="shared" si="5"/>
        <v>0.97208691236875422</v>
      </c>
      <c r="K20" s="67">
        <f t="shared" si="6"/>
        <v>2.362711245340722</v>
      </c>
    </row>
    <row r="21" spans="1:11" ht="15" x14ac:dyDescent="0.2">
      <c r="A21" s="256"/>
      <c r="B21" s="34" t="s">
        <v>144</v>
      </c>
      <c r="C21" s="80">
        <v>153</v>
      </c>
      <c r="D21" s="66">
        <f t="shared" si="7"/>
        <v>15658190.255509676</v>
      </c>
      <c r="E21" s="66">
        <v>2395703109.0929804</v>
      </c>
      <c r="F21" s="80">
        <f>+'5a'!C21</f>
        <v>629</v>
      </c>
      <c r="G21" s="66">
        <f>IF(F21=0,0,H21/F21)</f>
        <v>16281325.179888712</v>
      </c>
      <c r="H21" s="66">
        <f>+'5a'!E21</f>
        <v>10240953538.15</v>
      </c>
      <c r="I21" s="67">
        <f t="shared" si="8"/>
        <v>4.1111111111111107</v>
      </c>
      <c r="J21" s="67">
        <f t="shared" si="5"/>
        <v>1.0397961012231136</v>
      </c>
      <c r="K21" s="67">
        <f t="shared" si="6"/>
        <v>4.2747173050283562</v>
      </c>
    </row>
    <row r="22" spans="1:11" ht="15" x14ac:dyDescent="0.2">
      <c r="A22" s="256"/>
      <c r="B22" s="34" t="s">
        <v>145</v>
      </c>
      <c r="C22" s="80">
        <v>219</v>
      </c>
      <c r="D22" s="66">
        <f t="shared" si="7"/>
        <v>15704136.465051956</v>
      </c>
      <c r="E22" s="66">
        <v>3439205885.8463783</v>
      </c>
      <c r="F22" s="80">
        <f>+'5a'!C22</f>
        <v>0</v>
      </c>
      <c r="G22" s="66">
        <f>IF(F22=0,0,H22/F22)</f>
        <v>0</v>
      </c>
      <c r="H22" s="66">
        <f>+'5a'!E22</f>
        <v>0</v>
      </c>
      <c r="I22" s="67">
        <f t="shared" si="8"/>
        <v>0</v>
      </c>
      <c r="J22" s="67">
        <f t="shared" si="5"/>
        <v>0</v>
      </c>
      <c r="K22" s="67">
        <f t="shared" si="6"/>
        <v>0</v>
      </c>
    </row>
    <row r="23" spans="1:11" ht="15" x14ac:dyDescent="0.2">
      <c r="A23" s="256"/>
      <c r="B23" s="34" t="s">
        <v>146</v>
      </c>
      <c r="C23" s="80">
        <v>134</v>
      </c>
      <c r="D23" s="66">
        <f t="shared" si="7"/>
        <v>15737979.583307607</v>
      </c>
      <c r="E23" s="66">
        <v>2108889264.1632195</v>
      </c>
      <c r="F23" s="80">
        <f>+'5a'!C23</f>
        <v>0</v>
      </c>
      <c r="G23" s="66">
        <f t="shared" ref="G23:G30" si="9">IF(F23=0,0,H23/F23)</f>
        <v>0</v>
      </c>
      <c r="H23" s="66">
        <f>+'5a'!E23</f>
        <v>0</v>
      </c>
      <c r="I23" s="67">
        <f t="shared" si="8"/>
        <v>0</v>
      </c>
      <c r="J23" s="67">
        <f t="shared" si="5"/>
        <v>0</v>
      </c>
      <c r="K23" s="67">
        <f t="shared" si="6"/>
        <v>0</v>
      </c>
    </row>
    <row r="24" spans="1:11" ht="15" x14ac:dyDescent="0.2">
      <c r="A24" s="256"/>
      <c r="B24" s="34" t="s">
        <v>147</v>
      </c>
      <c r="C24" s="80">
        <v>87</v>
      </c>
      <c r="D24" s="66">
        <f t="shared" si="7"/>
        <v>15821643.408655627</v>
      </c>
      <c r="E24" s="66">
        <v>1376482976.5530396</v>
      </c>
      <c r="F24" s="80">
        <f>+'5a'!C24</f>
        <v>0</v>
      </c>
      <c r="G24" s="66">
        <f t="shared" si="9"/>
        <v>0</v>
      </c>
      <c r="H24" s="66">
        <f>+'5a'!E24</f>
        <v>0</v>
      </c>
      <c r="I24" s="67">
        <f t="shared" si="8"/>
        <v>0</v>
      </c>
      <c r="J24" s="67">
        <f t="shared" si="5"/>
        <v>0</v>
      </c>
      <c r="K24" s="67">
        <f t="shared" si="6"/>
        <v>0</v>
      </c>
    </row>
    <row r="25" spans="1:11" ht="15" x14ac:dyDescent="0.2">
      <c r="A25" s="256"/>
      <c r="B25" s="34" t="s">
        <v>148</v>
      </c>
      <c r="C25" s="80">
        <v>119</v>
      </c>
      <c r="D25" s="66">
        <f t="shared" si="7"/>
        <v>15880852.82477076</v>
      </c>
      <c r="E25" s="66">
        <v>1889821486.1477203</v>
      </c>
      <c r="F25" s="80">
        <f>+'5a'!C25</f>
        <v>0</v>
      </c>
      <c r="G25" s="66">
        <f t="shared" si="9"/>
        <v>0</v>
      </c>
      <c r="H25" s="66">
        <f>+'5a'!E25</f>
        <v>0</v>
      </c>
      <c r="I25" s="67">
        <f t="shared" si="8"/>
        <v>0</v>
      </c>
      <c r="J25" s="67">
        <f t="shared" si="5"/>
        <v>0</v>
      </c>
      <c r="K25" s="67">
        <f t="shared" si="6"/>
        <v>0</v>
      </c>
    </row>
    <row r="26" spans="1:11" ht="15" x14ac:dyDescent="0.2">
      <c r="A26" s="256"/>
      <c r="B26" s="34" t="s">
        <v>149</v>
      </c>
      <c r="C26" s="80">
        <v>136</v>
      </c>
      <c r="D26" s="66">
        <f t="shared" si="7"/>
        <v>15936752.68668768</v>
      </c>
      <c r="E26" s="66">
        <v>2167398365.3895245</v>
      </c>
      <c r="F26" s="80">
        <f>+'5a'!C26</f>
        <v>0</v>
      </c>
      <c r="G26" s="66">
        <f t="shared" si="9"/>
        <v>0</v>
      </c>
      <c r="H26" s="66">
        <f>+'5a'!E26</f>
        <v>0</v>
      </c>
      <c r="I26" s="67">
        <f t="shared" si="8"/>
        <v>0</v>
      </c>
      <c r="J26" s="67">
        <f t="shared" si="5"/>
        <v>0</v>
      </c>
      <c r="K26" s="67">
        <f t="shared" si="6"/>
        <v>0</v>
      </c>
    </row>
    <row r="27" spans="1:11" ht="15" x14ac:dyDescent="0.2">
      <c r="A27" s="256"/>
      <c r="B27" s="34" t="s">
        <v>150</v>
      </c>
      <c r="C27" s="80">
        <v>210</v>
      </c>
      <c r="D27" s="66">
        <f t="shared" si="7"/>
        <v>16005791.403220108</v>
      </c>
      <c r="E27" s="66">
        <v>3361216194.6762228</v>
      </c>
      <c r="F27" s="80">
        <f>+'5a'!C27</f>
        <v>0</v>
      </c>
      <c r="G27" s="66">
        <f t="shared" si="9"/>
        <v>0</v>
      </c>
      <c r="H27" s="66">
        <f>+'5a'!E27</f>
        <v>0</v>
      </c>
      <c r="I27" s="67">
        <f t="shared" si="8"/>
        <v>0</v>
      </c>
      <c r="J27" s="67">
        <f t="shared" si="5"/>
        <v>0</v>
      </c>
      <c r="K27" s="67">
        <f t="shared" si="6"/>
        <v>0</v>
      </c>
    </row>
    <row r="28" spans="1:11" ht="15" x14ac:dyDescent="0.2">
      <c r="A28" s="256"/>
      <c r="B28" s="34" t="s">
        <v>151</v>
      </c>
      <c r="C28" s="80">
        <v>106</v>
      </c>
      <c r="D28" s="66">
        <f t="shared" si="7"/>
        <v>16091876.605504809</v>
      </c>
      <c r="E28" s="66">
        <v>1705738920.1835098</v>
      </c>
      <c r="F28" s="80">
        <f>+'5a'!C28</f>
        <v>0</v>
      </c>
      <c r="G28" s="66">
        <f t="shared" si="9"/>
        <v>0</v>
      </c>
      <c r="H28" s="66">
        <f>+'5a'!E28</f>
        <v>0</v>
      </c>
      <c r="I28" s="67">
        <f t="shared" si="8"/>
        <v>0</v>
      </c>
      <c r="J28" s="67">
        <f t="shared" si="5"/>
        <v>0</v>
      </c>
      <c r="K28" s="67">
        <f t="shared" si="6"/>
        <v>0</v>
      </c>
    </row>
    <row r="29" spans="1:11" ht="15" x14ac:dyDescent="0.2">
      <c r="A29" s="256"/>
      <c r="B29" s="34" t="s">
        <v>152</v>
      </c>
      <c r="C29" s="80">
        <v>121</v>
      </c>
      <c r="D29" s="66">
        <f t="shared" si="7"/>
        <v>16117786.673074096</v>
      </c>
      <c r="E29" s="66">
        <v>1950252187.4419656</v>
      </c>
      <c r="F29" s="80">
        <f>+'5a'!C29</f>
        <v>0</v>
      </c>
      <c r="G29" s="66">
        <f t="shared" si="9"/>
        <v>0</v>
      </c>
      <c r="H29" s="66">
        <f>+'5a'!E29</f>
        <v>0</v>
      </c>
      <c r="I29" s="67">
        <f t="shared" si="8"/>
        <v>0</v>
      </c>
      <c r="J29" s="67">
        <f t="shared" si="5"/>
        <v>0</v>
      </c>
      <c r="K29" s="67">
        <f t="shared" si="6"/>
        <v>0</v>
      </c>
    </row>
    <row r="30" spans="1:11" ht="15" x14ac:dyDescent="0.2">
      <c r="A30" s="256"/>
      <c r="B30" s="34" t="s">
        <v>153</v>
      </c>
      <c r="C30" s="80">
        <v>106</v>
      </c>
      <c r="D30" s="66">
        <f t="shared" si="7"/>
        <v>16141027.099829417</v>
      </c>
      <c r="E30" s="66">
        <v>1710948872.5819182</v>
      </c>
      <c r="F30" s="80">
        <f>+'5a'!C30</f>
        <v>0</v>
      </c>
      <c r="G30" s="66">
        <f t="shared" si="9"/>
        <v>0</v>
      </c>
      <c r="H30" s="66">
        <f>+'5a'!E30</f>
        <v>0</v>
      </c>
      <c r="I30" s="67">
        <f t="shared" si="8"/>
        <v>0</v>
      </c>
      <c r="J30" s="67">
        <f t="shared" si="5"/>
        <v>0</v>
      </c>
      <c r="K30" s="67">
        <f t="shared" si="6"/>
        <v>0</v>
      </c>
    </row>
    <row r="31" spans="1:11" s="37" customFormat="1" ht="15.75" x14ac:dyDescent="0.2">
      <c r="A31" s="254" t="s">
        <v>155</v>
      </c>
      <c r="B31" s="255"/>
      <c r="C31" s="79">
        <f>SUM(C19:C30)</f>
        <v>1637</v>
      </c>
      <c r="D31" s="45">
        <f>IF(C31=0,0,E31/C31)</f>
        <v>15845722.279977312</v>
      </c>
      <c r="E31" s="45">
        <f>SUM(E19:E30)</f>
        <v>25939447372.322861</v>
      </c>
      <c r="F31" s="79">
        <f>SUM(F19:F30)</f>
        <v>1125</v>
      </c>
      <c r="G31" s="45">
        <f>IF(F31=0,0,H31/F31)</f>
        <v>14880003.449759999</v>
      </c>
      <c r="H31" s="45">
        <f>SUM(H19:H30)</f>
        <v>16740003880.98</v>
      </c>
      <c r="I31" s="68">
        <f t="shared" si="8"/>
        <v>0.68723274282223579</v>
      </c>
      <c r="J31" s="69">
        <f t="shared" ref="J31:J57" si="10">+G31/D31</f>
        <v>0.93905491885102665</v>
      </c>
      <c r="K31" s="69">
        <f t="shared" ref="K31:K57" si="11">+H31/E31</f>
        <v>0.64534928754270304</v>
      </c>
    </row>
    <row r="32" spans="1:11" ht="15.75" customHeight="1" x14ac:dyDescent="0.2">
      <c r="A32" s="256" t="s">
        <v>136</v>
      </c>
      <c r="B32" s="34" t="s">
        <v>142</v>
      </c>
      <c r="C32" s="80">
        <v>14</v>
      </c>
      <c r="D32" s="66">
        <f>+E32/C32</f>
        <v>18800779.11333691</v>
      </c>
      <c r="E32" s="66">
        <v>263210907.58671674</v>
      </c>
      <c r="F32" s="80">
        <f>+'5a'!C32</f>
        <v>100</v>
      </c>
      <c r="G32" s="66">
        <f>IF(F32=0,0,H32/F32)</f>
        <v>6954494.2935000006</v>
      </c>
      <c r="H32" s="66">
        <f>+'5a'!E32</f>
        <v>695449429.35000002</v>
      </c>
      <c r="I32" s="67">
        <f>+F32/C32</f>
        <v>7.1428571428571432</v>
      </c>
      <c r="J32" s="67">
        <f t="shared" si="10"/>
        <v>0.36990457956961031</v>
      </c>
      <c r="K32" s="67">
        <f t="shared" si="11"/>
        <v>2.6421755683543591</v>
      </c>
    </row>
    <row r="33" spans="1:11" ht="15" x14ac:dyDescent="0.2">
      <c r="A33" s="256"/>
      <c r="B33" s="34" t="s">
        <v>143</v>
      </c>
      <c r="C33" s="80">
        <v>18</v>
      </c>
      <c r="D33" s="66">
        <f t="shared" ref="D33:D56" si="12">+E33/C33</f>
        <v>18824640.455912888</v>
      </c>
      <c r="E33" s="66">
        <v>338843528.20643198</v>
      </c>
      <c r="F33" s="80">
        <f>+'5a'!C33</f>
        <v>159</v>
      </c>
      <c r="G33" s="66">
        <f>IF(F33=0,0,H33/F33)</f>
        <v>13386244.984402515</v>
      </c>
      <c r="H33" s="66">
        <f>+'5a'!E33</f>
        <v>2128412952.52</v>
      </c>
      <c r="I33" s="67">
        <f t="shared" ref="I33:I44" si="13">+F33/C33</f>
        <v>8.8333333333333339</v>
      </c>
      <c r="J33" s="67">
        <f t="shared" si="10"/>
        <v>0.71110229253796164</v>
      </c>
      <c r="K33" s="67">
        <f t="shared" si="11"/>
        <v>6.2814035840853286</v>
      </c>
    </row>
    <row r="34" spans="1:11" ht="15" x14ac:dyDescent="0.2">
      <c r="A34" s="256"/>
      <c r="B34" s="34" t="s">
        <v>144</v>
      </c>
      <c r="C34" s="80">
        <v>71</v>
      </c>
      <c r="D34" s="66">
        <f t="shared" si="12"/>
        <v>18925799.105425138</v>
      </c>
      <c r="E34" s="66">
        <v>1343731736.4851849</v>
      </c>
      <c r="F34" s="80">
        <f>+'5a'!C34</f>
        <v>355</v>
      </c>
      <c r="G34" s="66">
        <f>IF(F34=0,0,H34/F34)</f>
        <v>12788808.601774648</v>
      </c>
      <c r="H34" s="66">
        <f>+'5a'!E34</f>
        <v>4540027053.6300001</v>
      </c>
      <c r="I34" s="67">
        <f t="shared" si="13"/>
        <v>5</v>
      </c>
      <c r="J34" s="67">
        <f t="shared" si="10"/>
        <v>0.67573414102808993</v>
      </c>
      <c r="K34" s="67">
        <f t="shared" si="11"/>
        <v>3.3786707051404492</v>
      </c>
    </row>
    <row r="35" spans="1:11" ht="15" x14ac:dyDescent="0.2">
      <c r="A35" s="256"/>
      <c r="B35" s="34" t="s">
        <v>145</v>
      </c>
      <c r="C35" s="80">
        <v>24</v>
      </c>
      <c r="D35" s="66">
        <f t="shared" si="12"/>
        <v>18866397.805420853</v>
      </c>
      <c r="E35" s="66">
        <v>452793547.33010048</v>
      </c>
      <c r="F35" s="80">
        <f>+'5a'!C35</f>
        <v>0</v>
      </c>
      <c r="G35" s="66">
        <f>IF(F35=0,0,H35/F35)</f>
        <v>0</v>
      </c>
      <c r="H35" s="66">
        <f>+'5a'!E35</f>
        <v>0</v>
      </c>
      <c r="I35" s="67">
        <f t="shared" si="13"/>
        <v>0</v>
      </c>
      <c r="J35" s="67">
        <f t="shared" si="10"/>
        <v>0</v>
      </c>
      <c r="K35" s="67">
        <f t="shared" si="11"/>
        <v>0</v>
      </c>
    </row>
    <row r="36" spans="1:11" ht="15" x14ac:dyDescent="0.2">
      <c r="A36" s="256"/>
      <c r="B36" s="34" t="s">
        <v>146</v>
      </c>
      <c r="C36" s="80">
        <v>38</v>
      </c>
      <c r="D36" s="66">
        <f t="shared" si="12"/>
        <v>19132326.189129464</v>
      </c>
      <c r="E36" s="66">
        <v>727028395.18691969</v>
      </c>
      <c r="F36" s="80">
        <f>+'5a'!C36</f>
        <v>0</v>
      </c>
      <c r="G36" s="66">
        <f t="shared" ref="G36:G43" si="14">IF(F36=0,0,H36/F36)</f>
        <v>0</v>
      </c>
      <c r="H36" s="66">
        <f>+'5a'!E36</f>
        <v>0</v>
      </c>
      <c r="I36" s="67">
        <f t="shared" si="13"/>
        <v>0</v>
      </c>
      <c r="J36" s="67">
        <f t="shared" si="10"/>
        <v>0</v>
      </c>
      <c r="K36" s="67">
        <f t="shared" si="11"/>
        <v>0</v>
      </c>
    </row>
    <row r="37" spans="1:11" ht="15" x14ac:dyDescent="0.2">
      <c r="A37" s="256"/>
      <c r="B37" s="34" t="s">
        <v>147</v>
      </c>
      <c r="C37" s="80">
        <v>16</v>
      </c>
      <c r="D37" s="66">
        <f t="shared" si="12"/>
        <v>19096063.227714654</v>
      </c>
      <c r="E37" s="66">
        <v>305537011.64343446</v>
      </c>
      <c r="F37" s="80">
        <f>+'5a'!C37</f>
        <v>0</v>
      </c>
      <c r="G37" s="66">
        <f t="shared" si="14"/>
        <v>0</v>
      </c>
      <c r="H37" s="66">
        <f>+'5a'!E37</f>
        <v>0</v>
      </c>
      <c r="I37" s="67">
        <f t="shared" si="13"/>
        <v>0</v>
      </c>
      <c r="J37" s="67">
        <f t="shared" si="10"/>
        <v>0</v>
      </c>
      <c r="K37" s="67">
        <f t="shared" si="11"/>
        <v>0</v>
      </c>
    </row>
    <row r="38" spans="1:11" ht="15" x14ac:dyDescent="0.2">
      <c r="A38" s="256"/>
      <c r="B38" s="34" t="s">
        <v>148</v>
      </c>
      <c r="C38" s="80">
        <v>18</v>
      </c>
      <c r="D38" s="66">
        <f t="shared" si="12"/>
        <v>19134395.526017781</v>
      </c>
      <c r="E38" s="66">
        <v>344419119.46832007</v>
      </c>
      <c r="F38" s="80">
        <f>+'5a'!C38</f>
        <v>0</v>
      </c>
      <c r="G38" s="66">
        <f t="shared" si="14"/>
        <v>0</v>
      </c>
      <c r="H38" s="66">
        <f>+'5a'!E38</f>
        <v>0</v>
      </c>
      <c r="I38" s="67">
        <f t="shared" si="13"/>
        <v>0</v>
      </c>
      <c r="J38" s="67">
        <f t="shared" si="10"/>
        <v>0</v>
      </c>
      <c r="K38" s="67">
        <f t="shared" si="11"/>
        <v>0</v>
      </c>
    </row>
    <row r="39" spans="1:11" ht="15" x14ac:dyDescent="0.2">
      <c r="A39" s="256"/>
      <c r="B39" s="34" t="s">
        <v>149</v>
      </c>
      <c r="C39" s="80">
        <v>43</v>
      </c>
      <c r="D39" s="66">
        <f t="shared" si="12"/>
        <v>19353196.621577345</v>
      </c>
      <c r="E39" s="66">
        <v>832187454.72782588</v>
      </c>
      <c r="F39" s="80">
        <f>+'5a'!C39</f>
        <v>0</v>
      </c>
      <c r="G39" s="66">
        <f t="shared" si="14"/>
        <v>0</v>
      </c>
      <c r="H39" s="66">
        <f>+'5a'!E39</f>
        <v>0</v>
      </c>
      <c r="I39" s="67">
        <f t="shared" si="13"/>
        <v>0</v>
      </c>
      <c r="J39" s="67">
        <f t="shared" si="10"/>
        <v>0</v>
      </c>
      <c r="K39" s="67">
        <f t="shared" si="11"/>
        <v>0</v>
      </c>
    </row>
    <row r="40" spans="1:11" ht="15" x14ac:dyDescent="0.2">
      <c r="A40" s="256"/>
      <c r="B40" s="34" t="s">
        <v>150</v>
      </c>
      <c r="C40" s="80">
        <v>50</v>
      </c>
      <c r="D40" s="66">
        <f t="shared" si="12"/>
        <v>19487587.634480558</v>
      </c>
      <c r="E40" s="66">
        <v>974379381.72402799</v>
      </c>
      <c r="F40" s="80">
        <f>+'5a'!C40</f>
        <v>0</v>
      </c>
      <c r="G40" s="66">
        <f t="shared" si="14"/>
        <v>0</v>
      </c>
      <c r="H40" s="66">
        <f>+'5a'!E40</f>
        <v>0</v>
      </c>
      <c r="I40" s="67">
        <f t="shared" si="13"/>
        <v>0</v>
      </c>
      <c r="J40" s="67">
        <f t="shared" si="10"/>
        <v>0</v>
      </c>
      <c r="K40" s="67">
        <f t="shared" si="11"/>
        <v>0</v>
      </c>
    </row>
    <row r="41" spans="1:11" ht="15" x14ac:dyDescent="0.2">
      <c r="A41" s="256"/>
      <c r="B41" s="34" t="s">
        <v>151</v>
      </c>
      <c r="C41" s="80">
        <v>75</v>
      </c>
      <c r="D41" s="66">
        <f t="shared" si="12"/>
        <v>19562114.652326528</v>
      </c>
      <c r="E41" s="66">
        <v>1467158598.9244895</v>
      </c>
      <c r="F41" s="80">
        <f>+'5a'!C41</f>
        <v>0</v>
      </c>
      <c r="G41" s="66">
        <f t="shared" si="14"/>
        <v>0</v>
      </c>
      <c r="H41" s="66">
        <f>+'5a'!E41</f>
        <v>0</v>
      </c>
      <c r="I41" s="67">
        <f t="shared" si="13"/>
        <v>0</v>
      </c>
      <c r="J41" s="67">
        <f t="shared" si="10"/>
        <v>0</v>
      </c>
      <c r="K41" s="67">
        <f t="shared" si="11"/>
        <v>0</v>
      </c>
    </row>
    <row r="42" spans="1:11" ht="15" x14ac:dyDescent="0.2">
      <c r="A42" s="256"/>
      <c r="B42" s="34" t="s">
        <v>152</v>
      </c>
      <c r="C42" s="80">
        <v>18</v>
      </c>
      <c r="D42" s="66">
        <f t="shared" si="12"/>
        <v>19658239.104232233</v>
      </c>
      <c r="E42" s="66">
        <v>353848303.87618017</v>
      </c>
      <c r="F42" s="80">
        <f>+'5a'!C42</f>
        <v>0</v>
      </c>
      <c r="G42" s="66">
        <f t="shared" si="14"/>
        <v>0</v>
      </c>
      <c r="H42" s="66">
        <f>+'5a'!E42</f>
        <v>0</v>
      </c>
      <c r="I42" s="67">
        <f t="shared" si="13"/>
        <v>0</v>
      </c>
      <c r="J42" s="67">
        <f t="shared" si="10"/>
        <v>0</v>
      </c>
      <c r="K42" s="67">
        <f t="shared" si="11"/>
        <v>0</v>
      </c>
    </row>
    <row r="43" spans="1:11" ht="15" x14ac:dyDescent="0.2">
      <c r="A43" s="256"/>
      <c r="B43" s="34" t="s">
        <v>153</v>
      </c>
      <c r="C43" s="80">
        <v>22</v>
      </c>
      <c r="D43" s="66">
        <f t="shared" si="12"/>
        <v>19716908.395869374</v>
      </c>
      <c r="E43" s="66">
        <v>433771984.70912623</v>
      </c>
      <c r="F43" s="80">
        <f>+'5a'!C43</f>
        <v>0</v>
      </c>
      <c r="G43" s="66">
        <f t="shared" si="14"/>
        <v>0</v>
      </c>
      <c r="H43" s="66">
        <f>+'5a'!E43</f>
        <v>0</v>
      </c>
      <c r="I43" s="67">
        <f t="shared" si="13"/>
        <v>0</v>
      </c>
      <c r="J43" s="67">
        <f t="shared" si="10"/>
        <v>0</v>
      </c>
      <c r="K43" s="67">
        <f t="shared" si="11"/>
        <v>0</v>
      </c>
    </row>
    <row r="44" spans="1:11" s="37" customFormat="1" ht="15.75" x14ac:dyDescent="0.2">
      <c r="A44" s="254" t="s">
        <v>156</v>
      </c>
      <c r="B44" s="255"/>
      <c r="C44" s="79">
        <f>SUM(C32:C43)</f>
        <v>407</v>
      </c>
      <c r="D44" s="45">
        <f>IF(C44=0,0,E44/C44)</f>
        <v>19255307.05127459</v>
      </c>
      <c r="E44" s="45">
        <f>SUM(E32:E43)</f>
        <v>7836909969.8687582</v>
      </c>
      <c r="F44" s="79">
        <f>SUM(F32:F43)</f>
        <v>614</v>
      </c>
      <c r="G44" s="45">
        <f>IF(F44=0,0,H44/F44)</f>
        <v>11993305.269543974</v>
      </c>
      <c r="H44" s="45">
        <f>SUM(H32:H43)</f>
        <v>7363889435.5</v>
      </c>
      <c r="I44" s="68">
        <f t="shared" si="13"/>
        <v>1.5085995085995085</v>
      </c>
      <c r="J44" s="69">
        <f t="shared" si="10"/>
        <v>0.6228571290817243</v>
      </c>
      <c r="K44" s="69">
        <f t="shared" si="11"/>
        <v>0.93964195886039004</v>
      </c>
    </row>
    <row r="45" spans="1:11" ht="15.75" customHeight="1" x14ac:dyDescent="0.2">
      <c r="A45" s="256" t="s">
        <v>157</v>
      </c>
      <c r="B45" s="34" t="s">
        <v>142</v>
      </c>
      <c r="C45" s="80">
        <v>63</v>
      </c>
      <c r="D45" s="66">
        <f t="shared" si="12"/>
        <v>6513710.5758728646</v>
      </c>
      <c r="E45" s="66">
        <v>410363766.27999049</v>
      </c>
      <c r="F45" s="80">
        <f>+'5a'!C45</f>
        <v>54</v>
      </c>
      <c r="G45" s="66">
        <f>IF(F45=0,0,H45/F45)</f>
        <v>6932277.777777778</v>
      </c>
      <c r="H45" s="66">
        <f>+'5a'!E45</f>
        <v>374343000</v>
      </c>
      <c r="I45" s="67">
        <f>+F45/C45</f>
        <v>0.8571428571428571</v>
      </c>
      <c r="J45" s="67">
        <f t="shared" si="10"/>
        <v>1.0642594105202201</v>
      </c>
      <c r="K45" s="67">
        <f t="shared" si="11"/>
        <v>0.9122223518744742</v>
      </c>
    </row>
    <row r="46" spans="1:11" ht="15" x14ac:dyDescent="0.2">
      <c r="A46" s="256"/>
      <c r="B46" s="34" t="s">
        <v>143</v>
      </c>
      <c r="C46" s="80">
        <v>54</v>
      </c>
      <c r="D46" s="66">
        <f t="shared" si="12"/>
        <v>6552414.9175158506</v>
      </c>
      <c r="E46" s="66">
        <v>353830405.54585594</v>
      </c>
      <c r="F46" s="80">
        <f>+'5a'!C46</f>
        <v>80</v>
      </c>
      <c r="G46" s="66">
        <f>IF(F46=0,0,H46/F46)</f>
        <v>7001000</v>
      </c>
      <c r="H46" s="66">
        <f>+'5a'!E46</f>
        <v>560080000</v>
      </c>
      <c r="I46" s="67">
        <f t="shared" ref="I46:I57" si="15">+F46/C46</f>
        <v>1.4814814814814814</v>
      </c>
      <c r="J46" s="67">
        <f t="shared" si="10"/>
        <v>1.0684610312581087</v>
      </c>
      <c r="K46" s="67">
        <f t="shared" si="11"/>
        <v>1.5829052314934942</v>
      </c>
    </row>
    <row r="47" spans="1:11" ht="15" x14ac:dyDescent="0.2">
      <c r="A47" s="256"/>
      <c r="B47" s="34" t="s">
        <v>144</v>
      </c>
      <c r="C47" s="80">
        <v>92</v>
      </c>
      <c r="D47" s="66">
        <f t="shared" si="12"/>
        <v>6603642.4030675888</v>
      </c>
      <c r="E47" s="66">
        <v>607535101.08221817</v>
      </c>
      <c r="F47" s="80">
        <f>+'5a'!C47</f>
        <v>158</v>
      </c>
      <c r="G47" s="66">
        <f>IF(F47=0,0,H47/F47)</f>
        <v>6904196.202531646</v>
      </c>
      <c r="H47" s="66">
        <f>+'5a'!E47</f>
        <v>1090863000</v>
      </c>
      <c r="I47" s="67">
        <f t="shared" si="15"/>
        <v>1.7173913043478262</v>
      </c>
      <c r="J47" s="67">
        <f t="shared" si="10"/>
        <v>1.0455133365980631</v>
      </c>
      <c r="K47" s="67">
        <f t="shared" si="11"/>
        <v>1.7955555128531953</v>
      </c>
    </row>
    <row r="48" spans="1:11" ht="15" x14ac:dyDescent="0.2">
      <c r="A48" s="256"/>
      <c r="B48" s="34" t="s">
        <v>145</v>
      </c>
      <c r="C48" s="80">
        <v>50</v>
      </c>
      <c r="D48" s="66">
        <f t="shared" si="12"/>
        <v>6633820.0491017029</v>
      </c>
      <c r="E48" s="66">
        <v>331691002.45508516</v>
      </c>
      <c r="F48" s="80">
        <f>+'5a'!C48</f>
        <v>0</v>
      </c>
      <c r="G48" s="66">
        <f>IF(F48=0,0,H48/F48)</f>
        <v>0</v>
      </c>
      <c r="H48" s="66">
        <f>+'5a'!E48</f>
        <v>0</v>
      </c>
      <c r="I48" s="67">
        <f t="shared" si="15"/>
        <v>0</v>
      </c>
      <c r="J48" s="67">
        <f t="shared" si="10"/>
        <v>0</v>
      </c>
      <c r="K48" s="67">
        <f t="shared" si="11"/>
        <v>0</v>
      </c>
    </row>
    <row r="49" spans="1:11" ht="15" x14ac:dyDescent="0.2">
      <c r="A49" s="256"/>
      <c r="B49" s="34" t="s">
        <v>146</v>
      </c>
      <c r="C49" s="80">
        <v>50</v>
      </c>
      <c r="D49" s="66">
        <f t="shared" si="12"/>
        <v>6627015.2857802846</v>
      </c>
      <c r="E49" s="66">
        <v>331350764.28901422</v>
      </c>
      <c r="F49" s="80">
        <f>+'5a'!C49</f>
        <v>0</v>
      </c>
      <c r="G49" s="66">
        <f t="shared" ref="G49:G56" si="16">IF(F49=0,0,H49/F49)</f>
        <v>0</v>
      </c>
      <c r="H49" s="66">
        <f>+'5a'!E49</f>
        <v>0</v>
      </c>
      <c r="I49" s="67">
        <f t="shared" si="15"/>
        <v>0</v>
      </c>
      <c r="J49" s="67">
        <f t="shared" si="10"/>
        <v>0</v>
      </c>
      <c r="K49" s="67">
        <f t="shared" si="11"/>
        <v>0</v>
      </c>
    </row>
    <row r="50" spans="1:11" ht="15" x14ac:dyDescent="0.2">
      <c r="A50" s="256"/>
      <c r="B50" s="34" t="s">
        <v>147</v>
      </c>
      <c r="C50" s="80">
        <v>36</v>
      </c>
      <c r="D50" s="66">
        <f t="shared" si="12"/>
        <v>6659526.9327603923</v>
      </c>
      <c r="E50" s="66">
        <v>239742969.57937413</v>
      </c>
      <c r="F50" s="80">
        <f>+'5a'!C50</f>
        <v>0</v>
      </c>
      <c r="G50" s="66">
        <f t="shared" si="16"/>
        <v>0</v>
      </c>
      <c r="H50" s="66">
        <f>+'5a'!E50</f>
        <v>0</v>
      </c>
      <c r="I50" s="67">
        <f t="shared" si="15"/>
        <v>0</v>
      </c>
      <c r="J50" s="67">
        <f t="shared" si="10"/>
        <v>0</v>
      </c>
      <c r="K50" s="67">
        <f t="shared" si="11"/>
        <v>0</v>
      </c>
    </row>
    <row r="51" spans="1:11" ht="15" x14ac:dyDescent="0.2">
      <c r="A51" s="256"/>
      <c r="B51" s="34" t="s">
        <v>148</v>
      </c>
      <c r="C51" s="80">
        <v>72</v>
      </c>
      <c r="D51" s="66">
        <f t="shared" si="12"/>
        <v>6718181.9481534371</v>
      </c>
      <c r="E51" s="66">
        <v>483709100.26704746</v>
      </c>
      <c r="F51" s="80">
        <f>+'5a'!C51</f>
        <v>0</v>
      </c>
      <c r="G51" s="66">
        <f t="shared" si="16"/>
        <v>0</v>
      </c>
      <c r="H51" s="66">
        <f>+'5a'!E51</f>
        <v>0</v>
      </c>
      <c r="I51" s="67">
        <f t="shared" si="15"/>
        <v>0</v>
      </c>
      <c r="J51" s="67">
        <f t="shared" si="10"/>
        <v>0</v>
      </c>
      <c r="K51" s="67">
        <f t="shared" si="11"/>
        <v>0</v>
      </c>
    </row>
    <row r="52" spans="1:11" ht="15" x14ac:dyDescent="0.2">
      <c r="A52" s="256"/>
      <c r="B52" s="34" t="s">
        <v>149</v>
      </c>
      <c r="C52" s="80">
        <v>47</v>
      </c>
      <c r="D52" s="66">
        <f t="shared" si="12"/>
        <v>6751562.2515491815</v>
      </c>
      <c r="E52" s="66">
        <v>317323425.82281154</v>
      </c>
      <c r="F52" s="80">
        <f>+'5a'!C52</f>
        <v>0</v>
      </c>
      <c r="G52" s="66">
        <f t="shared" si="16"/>
        <v>0</v>
      </c>
      <c r="H52" s="66">
        <f>+'5a'!E52</f>
        <v>0</v>
      </c>
      <c r="I52" s="67">
        <f t="shared" si="15"/>
        <v>0</v>
      </c>
      <c r="J52" s="67">
        <f t="shared" si="10"/>
        <v>0</v>
      </c>
      <c r="K52" s="67">
        <f t="shared" si="11"/>
        <v>0</v>
      </c>
    </row>
    <row r="53" spans="1:11" ht="15" x14ac:dyDescent="0.2">
      <c r="A53" s="256"/>
      <c r="B53" s="34" t="s">
        <v>150</v>
      </c>
      <c r="C53" s="80">
        <v>103</v>
      </c>
      <c r="D53" s="66">
        <f t="shared" si="12"/>
        <v>6771887.7128121965</v>
      </c>
      <c r="E53" s="66">
        <v>697504434.41965628</v>
      </c>
      <c r="F53" s="80">
        <f>+'5a'!C53</f>
        <v>0</v>
      </c>
      <c r="G53" s="66">
        <f t="shared" si="16"/>
        <v>0</v>
      </c>
      <c r="H53" s="66">
        <f>+'5a'!E53</f>
        <v>0</v>
      </c>
      <c r="I53" s="67">
        <f t="shared" si="15"/>
        <v>0</v>
      </c>
      <c r="J53" s="67">
        <f t="shared" si="10"/>
        <v>0</v>
      </c>
      <c r="K53" s="67">
        <f t="shared" si="11"/>
        <v>0</v>
      </c>
    </row>
    <row r="54" spans="1:11" ht="15" x14ac:dyDescent="0.2">
      <c r="A54" s="256"/>
      <c r="B54" s="34" t="s">
        <v>151</v>
      </c>
      <c r="C54" s="80">
        <v>79</v>
      </c>
      <c r="D54" s="66">
        <f t="shared" si="12"/>
        <v>6783393.3528411845</v>
      </c>
      <c r="E54" s="66">
        <v>535888074.87445354</v>
      </c>
      <c r="F54" s="80">
        <f>+'5a'!C54</f>
        <v>0</v>
      </c>
      <c r="G54" s="66">
        <f t="shared" si="16"/>
        <v>0</v>
      </c>
      <c r="H54" s="66">
        <f>+'5a'!E54</f>
        <v>0</v>
      </c>
      <c r="I54" s="67">
        <f t="shared" si="15"/>
        <v>0</v>
      </c>
      <c r="J54" s="67">
        <f t="shared" si="10"/>
        <v>0</v>
      </c>
      <c r="K54" s="67">
        <f t="shared" si="11"/>
        <v>0</v>
      </c>
    </row>
    <row r="55" spans="1:11" ht="15" x14ac:dyDescent="0.2">
      <c r="A55" s="256"/>
      <c r="B55" s="34" t="s">
        <v>152</v>
      </c>
      <c r="C55" s="80">
        <v>48</v>
      </c>
      <c r="D55" s="66">
        <f t="shared" si="12"/>
        <v>6803119.5907477336</v>
      </c>
      <c r="E55" s="66">
        <v>326549740.35589123</v>
      </c>
      <c r="F55" s="80">
        <f>+'5a'!C55</f>
        <v>0</v>
      </c>
      <c r="G55" s="66">
        <f t="shared" si="16"/>
        <v>0</v>
      </c>
      <c r="H55" s="66">
        <f>+'5a'!E55</f>
        <v>0</v>
      </c>
      <c r="I55" s="67">
        <f t="shared" si="15"/>
        <v>0</v>
      </c>
      <c r="J55" s="67">
        <f t="shared" si="10"/>
        <v>0</v>
      </c>
      <c r="K55" s="67">
        <f t="shared" si="11"/>
        <v>0</v>
      </c>
    </row>
    <row r="56" spans="1:11" ht="15" x14ac:dyDescent="0.2">
      <c r="A56" s="256"/>
      <c r="B56" s="34" t="s">
        <v>153</v>
      </c>
      <c r="C56" s="80">
        <v>47</v>
      </c>
      <c r="D56" s="66">
        <f t="shared" si="12"/>
        <v>6814176.7116404558</v>
      </c>
      <c r="E56" s="66">
        <v>320266305.44710141</v>
      </c>
      <c r="F56" s="80">
        <f>+'5a'!C56</f>
        <v>0</v>
      </c>
      <c r="G56" s="66">
        <f t="shared" si="16"/>
        <v>0</v>
      </c>
      <c r="H56" s="66">
        <f>+'5a'!E56</f>
        <v>0</v>
      </c>
      <c r="I56" s="67">
        <f t="shared" si="15"/>
        <v>0</v>
      </c>
      <c r="J56" s="67">
        <f t="shared" si="10"/>
        <v>0</v>
      </c>
      <c r="K56" s="67">
        <f t="shared" si="11"/>
        <v>0</v>
      </c>
    </row>
    <row r="57" spans="1:11" s="37" customFormat="1" ht="15.75" x14ac:dyDescent="0.2">
      <c r="A57" s="254" t="s">
        <v>158</v>
      </c>
      <c r="B57" s="255"/>
      <c r="C57" s="79">
        <f>SUM(C45:C56)</f>
        <v>741</v>
      </c>
      <c r="D57" s="45">
        <f>IF(C57=0,0,E57/C57)</f>
        <v>6687928.5970560052</v>
      </c>
      <c r="E57" s="45">
        <f>SUM(E45:E56)</f>
        <v>4955755090.4184999</v>
      </c>
      <c r="F57" s="79">
        <f>SUM(F45:F56)</f>
        <v>292</v>
      </c>
      <c r="G57" s="45">
        <f>IF(F57=0,0,H57/F57)</f>
        <v>6935910.9589041099</v>
      </c>
      <c r="H57" s="45">
        <f>SUM(H45:H56)</f>
        <v>2025286000</v>
      </c>
      <c r="I57" s="68">
        <f t="shared" si="15"/>
        <v>0.39406207827260459</v>
      </c>
      <c r="J57" s="69">
        <f t="shared" si="10"/>
        <v>1.0370790982961848</v>
      </c>
      <c r="K57" s="69">
        <f t="shared" si="11"/>
        <v>0.40867354480767332</v>
      </c>
    </row>
    <row r="58" spans="1:11" s="37" customFormat="1" ht="15.75" customHeight="1" x14ac:dyDescent="0.2">
      <c r="A58" s="254" t="s">
        <v>96</v>
      </c>
      <c r="B58" s="255"/>
      <c r="C58" s="78">
        <f>C18+C31+C44+C57</f>
        <v>8417</v>
      </c>
      <c r="D58" s="45">
        <f>IF(C58=0,0,E58/C58)</f>
        <v>9906538.2462622859</v>
      </c>
      <c r="E58" s="45">
        <f>E18+E31+E44+E57</f>
        <v>83383332418.789658</v>
      </c>
      <c r="F58" s="78">
        <f>F18+F31+F44+F57</f>
        <v>4781</v>
      </c>
      <c r="G58" s="45">
        <f>IF(F58=0,0,H58/F58)</f>
        <v>9888127.7876097113</v>
      </c>
      <c r="H58" s="45">
        <f>H18+H31+H44+H57</f>
        <v>47275138952.562027</v>
      </c>
      <c r="I58" s="111">
        <f>+F58/C58</f>
        <v>0.56801710823333729</v>
      </c>
      <c r="J58" s="69">
        <f>+G58/D58</f>
        <v>0.99814158506282247</v>
      </c>
      <c r="K58" s="74">
        <f>+H58/E58</f>
        <v>0.56696149675482399</v>
      </c>
    </row>
    <row r="59" spans="1:11" x14ac:dyDescent="0.2">
      <c r="A59" s="38"/>
      <c r="B59" s="38"/>
      <c r="C59" s="60"/>
      <c r="D59" s="39"/>
      <c r="E59" s="56"/>
      <c r="F59" s="60"/>
      <c r="G59" s="39"/>
      <c r="H59" s="56"/>
      <c r="I59" s="38"/>
      <c r="J59" s="38"/>
      <c r="K59" s="38"/>
    </row>
    <row r="60" spans="1:11" x14ac:dyDescent="0.2">
      <c r="A60" s="38"/>
      <c r="B60" s="38"/>
      <c r="C60" s="39"/>
      <c r="D60" s="39"/>
      <c r="E60" s="121"/>
      <c r="F60" s="39"/>
      <c r="G60" s="39"/>
      <c r="H60" s="38"/>
      <c r="I60" s="93"/>
      <c r="J60" s="38"/>
      <c r="K60" s="38"/>
    </row>
    <row r="61" spans="1:11" x14ac:dyDescent="0.2">
      <c r="A61" s="38"/>
      <c r="B61" s="38"/>
      <c r="C61" s="92"/>
      <c r="D61" s="39"/>
      <c r="E61" s="90"/>
      <c r="F61" s="110"/>
      <c r="G61" s="39"/>
      <c r="H61" s="38"/>
      <c r="I61" s="38"/>
      <c r="J61" s="38"/>
      <c r="K61" s="38"/>
    </row>
    <row r="62" spans="1:11" x14ac:dyDescent="0.2">
      <c r="A62" s="38"/>
      <c r="B62" s="38"/>
      <c r="C62" s="39"/>
      <c r="D62" s="39"/>
      <c r="E62" s="38"/>
      <c r="F62" s="39"/>
      <c r="G62" s="39"/>
      <c r="H62" s="38"/>
      <c r="I62" s="38"/>
      <c r="J62" s="38"/>
      <c r="K62" s="38"/>
    </row>
    <row r="63" spans="1:11" x14ac:dyDescent="0.2">
      <c r="A63" s="38"/>
      <c r="B63" s="38"/>
      <c r="C63" s="39"/>
      <c r="D63" s="39"/>
      <c r="E63" s="38"/>
      <c r="F63" s="39"/>
      <c r="G63" s="39"/>
      <c r="H63" s="38"/>
      <c r="I63" s="38"/>
      <c r="J63" s="38"/>
      <c r="K63" s="38"/>
    </row>
    <row r="64" spans="1:11" x14ac:dyDescent="0.2">
      <c r="A64" s="38"/>
      <c r="B64" s="38"/>
      <c r="C64" s="39"/>
      <c r="D64" s="39"/>
      <c r="E64" s="38"/>
      <c r="F64" s="39"/>
      <c r="G64" s="39"/>
      <c r="H64" s="38"/>
      <c r="I64" s="38"/>
      <c r="J64" s="38"/>
      <c r="K64" s="38"/>
    </row>
    <row r="65" spans="1:11" x14ac:dyDescent="0.2">
      <c r="A65" s="38"/>
      <c r="B65" s="38"/>
      <c r="C65" s="39"/>
      <c r="D65" s="39"/>
      <c r="E65" s="38"/>
      <c r="F65" s="39"/>
      <c r="G65" s="39"/>
      <c r="H65" s="38"/>
      <c r="I65" s="38"/>
      <c r="J65" s="38"/>
      <c r="K65" s="38"/>
    </row>
    <row r="66" spans="1:11" x14ac:dyDescent="0.2">
      <c r="A66" s="38"/>
      <c r="B66" s="38"/>
      <c r="C66" s="39"/>
      <c r="D66" s="39"/>
      <c r="E66" s="38"/>
      <c r="F66" s="39"/>
      <c r="G66" s="39"/>
      <c r="H66" s="38"/>
      <c r="I66" s="38"/>
      <c r="J66" s="38"/>
      <c r="K66" s="38"/>
    </row>
    <row r="67" spans="1:11" x14ac:dyDescent="0.2">
      <c r="A67" s="38"/>
      <c r="B67" s="38"/>
      <c r="C67" s="39"/>
      <c r="D67" s="39"/>
      <c r="E67" s="38"/>
      <c r="F67" s="39"/>
      <c r="G67" s="39"/>
      <c r="H67" s="38"/>
      <c r="I67" s="38"/>
      <c r="J67" s="38"/>
      <c r="K67" s="38"/>
    </row>
    <row r="68" spans="1:11" x14ac:dyDescent="0.2">
      <c r="A68" s="38"/>
      <c r="B68" s="38"/>
      <c r="C68" s="39"/>
      <c r="D68" s="39"/>
      <c r="E68" s="38"/>
      <c r="F68" s="39"/>
      <c r="G68" s="39"/>
      <c r="H68" s="38"/>
      <c r="I68" s="38"/>
      <c r="J68" s="38"/>
      <c r="K68" s="38"/>
    </row>
    <row r="69" spans="1:11" x14ac:dyDescent="0.2">
      <c r="A69" s="38"/>
      <c r="B69" s="38"/>
      <c r="C69" s="39"/>
      <c r="D69" s="39"/>
      <c r="E69" s="38"/>
      <c r="F69" s="39"/>
      <c r="G69" s="39"/>
      <c r="H69" s="38"/>
      <c r="I69" s="38"/>
      <c r="J69" s="38"/>
      <c r="K69" s="38"/>
    </row>
    <row r="70" spans="1:11" x14ac:dyDescent="0.2">
      <c r="A70" s="38"/>
      <c r="B70" s="38"/>
      <c r="C70" s="39"/>
      <c r="D70" s="39"/>
      <c r="E70" s="38"/>
      <c r="F70" s="39"/>
      <c r="G70" s="39"/>
      <c r="H70" s="38"/>
      <c r="I70" s="38"/>
      <c r="J70" s="38"/>
      <c r="K70" s="38"/>
    </row>
    <row r="71" spans="1:11" x14ac:dyDescent="0.2">
      <c r="A71" s="38"/>
      <c r="B71" s="38"/>
      <c r="C71" s="39"/>
      <c r="D71" s="39"/>
      <c r="E71" s="38"/>
      <c r="F71" s="39"/>
      <c r="G71" s="39"/>
      <c r="H71" s="38"/>
      <c r="I71" s="38"/>
      <c r="J71" s="38"/>
      <c r="K71" s="38"/>
    </row>
    <row r="72" spans="1:11" x14ac:dyDescent="0.2">
      <c r="A72" s="38"/>
      <c r="B72" s="38"/>
      <c r="C72" s="39"/>
      <c r="D72" s="39"/>
      <c r="E72" s="38"/>
      <c r="F72" s="39"/>
      <c r="G72" s="39"/>
      <c r="H72" s="38"/>
      <c r="I72" s="38"/>
      <c r="J72" s="38"/>
      <c r="K72" s="38"/>
    </row>
    <row r="73" spans="1:11" x14ac:dyDescent="0.2">
      <c r="A73" s="38"/>
      <c r="B73" s="38"/>
      <c r="C73" s="39"/>
      <c r="D73" s="39"/>
      <c r="E73" s="38"/>
      <c r="F73" s="39"/>
      <c r="G73" s="39"/>
      <c r="H73" s="38"/>
      <c r="I73" s="38"/>
      <c r="J73" s="38"/>
      <c r="K73" s="38"/>
    </row>
    <row r="74" spans="1:11" x14ac:dyDescent="0.2">
      <c r="A74" s="38"/>
      <c r="B74" s="38"/>
      <c r="C74" s="39"/>
      <c r="D74" s="39"/>
      <c r="E74" s="38"/>
      <c r="F74" s="39"/>
      <c r="G74" s="39"/>
      <c r="H74" s="38"/>
      <c r="I74" s="38"/>
      <c r="J74" s="38"/>
      <c r="K74" s="38"/>
    </row>
    <row r="75" spans="1:11" x14ac:dyDescent="0.2">
      <c r="A75" s="38"/>
      <c r="B75" s="38"/>
      <c r="C75" s="39"/>
      <c r="D75" s="39"/>
      <c r="E75" s="38"/>
      <c r="F75" s="39"/>
      <c r="G75" s="39"/>
      <c r="H75" s="38"/>
      <c r="I75" s="38"/>
      <c r="J75" s="38"/>
      <c r="K75" s="38"/>
    </row>
    <row r="76" spans="1:11" x14ac:dyDescent="0.2">
      <c r="A76" s="38"/>
      <c r="B76" s="38"/>
      <c r="C76" s="39"/>
      <c r="D76" s="39"/>
      <c r="E76" s="38"/>
      <c r="F76" s="39"/>
      <c r="G76" s="39"/>
      <c r="H76" s="38"/>
      <c r="I76" s="38"/>
      <c r="J76" s="38"/>
      <c r="K76" s="38"/>
    </row>
    <row r="77" spans="1:11" x14ac:dyDescent="0.2">
      <c r="A77" s="38"/>
      <c r="B77" s="38"/>
      <c r="C77" s="39"/>
      <c r="D77" s="39"/>
      <c r="E77" s="38"/>
      <c r="F77" s="39"/>
      <c r="G77" s="39"/>
      <c r="H77" s="38"/>
      <c r="I77" s="38"/>
      <c r="J77" s="38"/>
      <c r="K77" s="38"/>
    </row>
    <row r="78" spans="1:11" x14ac:dyDescent="0.2">
      <c r="A78" s="38"/>
      <c r="B78" s="38"/>
      <c r="C78" s="39"/>
      <c r="D78" s="39"/>
      <c r="E78" s="38"/>
      <c r="F78" s="39"/>
      <c r="G78" s="39"/>
      <c r="H78" s="38"/>
      <c r="I78" s="38"/>
      <c r="J78" s="38"/>
      <c r="K78" s="38"/>
    </row>
    <row r="79" spans="1:11" x14ac:dyDescent="0.2">
      <c r="A79" s="38"/>
      <c r="B79" s="38"/>
      <c r="C79" s="39"/>
      <c r="D79" s="39"/>
      <c r="E79" s="38"/>
      <c r="F79" s="39"/>
      <c r="G79" s="39"/>
      <c r="H79" s="38"/>
      <c r="I79" s="38"/>
      <c r="J79" s="38"/>
      <c r="K79" s="38"/>
    </row>
    <row r="80" spans="1:11" x14ac:dyDescent="0.2">
      <c r="A80" s="38"/>
      <c r="B80" s="38"/>
      <c r="C80" s="39"/>
      <c r="D80" s="39"/>
      <c r="E80" s="38"/>
      <c r="F80" s="39"/>
      <c r="G80" s="39"/>
      <c r="H80" s="38"/>
      <c r="I80" s="38"/>
      <c r="J80" s="38"/>
      <c r="K80" s="38"/>
    </row>
    <row r="81" spans="1:11" x14ac:dyDescent="0.2">
      <c r="A81" s="38"/>
      <c r="B81" s="38"/>
      <c r="C81" s="39"/>
      <c r="D81" s="39"/>
      <c r="E81" s="38"/>
      <c r="F81" s="39"/>
      <c r="G81" s="39"/>
      <c r="H81" s="38"/>
      <c r="I81" s="38"/>
      <c r="J81" s="38"/>
      <c r="K81" s="38"/>
    </row>
    <row r="82" spans="1:11" x14ac:dyDescent="0.2">
      <c r="A82" s="38"/>
      <c r="B82" s="38"/>
      <c r="C82" s="39"/>
      <c r="D82" s="39"/>
      <c r="E82" s="38"/>
      <c r="F82" s="39"/>
      <c r="G82" s="39"/>
      <c r="H82" s="38"/>
      <c r="I82" s="38"/>
      <c r="J82" s="38"/>
      <c r="K82" s="38"/>
    </row>
    <row r="83" spans="1:11" x14ac:dyDescent="0.2">
      <c r="A83" s="38"/>
      <c r="B83" s="38"/>
      <c r="C83" s="39"/>
      <c r="D83" s="39"/>
      <c r="E83" s="38"/>
      <c r="F83" s="39"/>
      <c r="G83" s="39"/>
      <c r="H83" s="38"/>
      <c r="I83" s="38"/>
      <c r="J83" s="38"/>
      <c r="K83" s="38"/>
    </row>
    <row r="84" spans="1:11" x14ac:dyDescent="0.2">
      <c r="A84" s="38"/>
      <c r="B84" s="38"/>
      <c r="C84" s="39"/>
      <c r="D84" s="39"/>
      <c r="E84" s="38"/>
      <c r="F84" s="39"/>
      <c r="G84" s="39"/>
      <c r="H84" s="38"/>
      <c r="I84" s="38"/>
      <c r="J84" s="38"/>
      <c r="K84" s="38"/>
    </row>
    <row r="85" spans="1:11" x14ac:dyDescent="0.2">
      <c r="A85" s="38"/>
      <c r="B85" s="38"/>
      <c r="C85" s="39"/>
      <c r="D85" s="39"/>
      <c r="E85" s="38"/>
      <c r="F85" s="39"/>
      <c r="G85" s="39"/>
      <c r="H85" s="38"/>
      <c r="I85" s="38"/>
      <c r="J85" s="38"/>
      <c r="K85" s="38"/>
    </row>
    <row r="86" spans="1:11" x14ac:dyDescent="0.2">
      <c r="A86" s="38"/>
      <c r="B86" s="38"/>
      <c r="C86" s="39"/>
      <c r="D86" s="39"/>
      <c r="E86" s="38"/>
      <c r="F86" s="39"/>
      <c r="G86" s="39"/>
      <c r="H86" s="38"/>
      <c r="I86" s="38"/>
      <c r="J86" s="38"/>
      <c r="K86" s="38"/>
    </row>
    <row r="87" spans="1:11" x14ac:dyDescent="0.2">
      <c r="A87" s="38"/>
      <c r="B87" s="38"/>
      <c r="C87" s="39"/>
      <c r="D87" s="39"/>
      <c r="E87" s="38"/>
      <c r="F87" s="39"/>
      <c r="G87" s="39"/>
      <c r="H87" s="38"/>
      <c r="I87" s="38"/>
      <c r="J87" s="38"/>
      <c r="K87" s="38"/>
    </row>
    <row r="88" spans="1:11" x14ac:dyDescent="0.2">
      <c r="A88" s="38"/>
      <c r="B88" s="38"/>
      <c r="C88" s="39"/>
      <c r="D88" s="39"/>
      <c r="E88" s="38"/>
      <c r="F88" s="39"/>
      <c r="G88" s="39"/>
      <c r="H88" s="38"/>
      <c r="I88" s="38"/>
      <c r="J88" s="38"/>
      <c r="K88" s="38"/>
    </row>
    <row r="89" spans="1:11" x14ac:dyDescent="0.2">
      <c r="A89" s="38"/>
      <c r="B89" s="38"/>
      <c r="C89" s="39"/>
      <c r="D89" s="39"/>
      <c r="E89" s="38"/>
      <c r="F89" s="39"/>
      <c r="G89" s="39"/>
      <c r="H89" s="38"/>
      <c r="I89" s="38"/>
      <c r="J89" s="38"/>
      <c r="K89" s="38"/>
    </row>
    <row r="90" spans="1:11" x14ac:dyDescent="0.2">
      <c r="A90" s="38"/>
      <c r="B90" s="38"/>
      <c r="C90" s="39"/>
      <c r="D90" s="39"/>
      <c r="E90" s="38"/>
      <c r="F90" s="39"/>
      <c r="G90" s="39"/>
      <c r="H90" s="38"/>
      <c r="I90" s="38"/>
      <c r="J90" s="38"/>
      <c r="K90" s="38"/>
    </row>
    <row r="91" spans="1:11" x14ac:dyDescent="0.2">
      <c r="A91" s="38"/>
      <c r="B91" s="38"/>
      <c r="C91" s="39"/>
      <c r="D91" s="39"/>
      <c r="E91" s="38"/>
      <c r="F91" s="39"/>
      <c r="G91" s="39"/>
      <c r="H91" s="38"/>
      <c r="I91" s="38"/>
      <c r="J91" s="38"/>
      <c r="K91" s="38"/>
    </row>
    <row r="92" spans="1:11" x14ac:dyDescent="0.2">
      <c r="A92" s="38"/>
      <c r="B92" s="38"/>
      <c r="C92" s="39"/>
      <c r="D92" s="39"/>
      <c r="E92" s="38"/>
      <c r="F92" s="39"/>
      <c r="G92" s="39"/>
      <c r="H92" s="38"/>
      <c r="I92" s="38"/>
      <c r="J92" s="38"/>
      <c r="K92" s="38"/>
    </row>
    <row r="93" spans="1:11" x14ac:dyDescent="0.2">
      <c r="A93" s="38"/>
      <c r="B93" s="38"/>
      <c r="C93" s="39"/>
      <c r="D93" s="39"/>
      <c r="E93" s="38"/>
      <c r="F93" s="39"/>
      <c r="G93" s="39"/>
      <c r="H93" s="38"/>
      <c r="I93" s="38"/>
      <c r="J93" s="38"/>
      <c r="K93" s="38"/>
    </row>
    <row r="94" spans="1:11" x14ac:dyDescent="0.2">
      <c r="A94" s="38"/>
      <c r="B94" s="38"/>
      <c r="C94" s="39"/>
      <c r="D94" s="39"/>
      <c r="E94" s="38"/>
      <c r="F94" s="39"/>
      <c r="G94" s="39"/>
      <c r="H94" s="38"/>
      <c r="I94" s="38"/>
      <c r="J94" s="38"/>
      <c r="K94" s="38"/>
    </row>
    <row r="95" spans="1:11" x14ac:dyDescent="0.2">
      <c r="A95" s="38"/>
      <c r="B95" s="38"/>
      <c r="C95" s="39"/>
      <c r="D95" s="39"/>
      <c r="E95" s="38"/>
      <c r="F95" s="39"/>
      <c r="G95" s="39"/>
      <c r="H95" s="38"/>
      <c r="I95" s="38"/>
      <c r="J95" s="38"/>
      <c r="K95" s="38"/>
    </row>
    <row r="96" spans="1:11" x14ac:dyDescent="0.2">
      <c r="A96" s="38"/>
      <c r="B96" s="38"/>
      <c r="C96" s="39"/>
      <c r="D96" s="39"/>
      <c r="E96" s="38"/>
      <c r="F96" s="39"/>
      <c r="G96" s="39"/>
      <c r="H96" s="38"/>
      <c r="I96" s="38"/>
      <c r="J96" s="38"/>
      <c r="K96" s="38"/>
    </row>
    <row r="97" spans="1:11" x14ac:dyDescent="0.2">
      <c r="A97" s="38"/>
      <c r="B97" s="38"/>
      <c r="C97" s="39"/>
      <c r="D97" s="39"/>
      <c r="E97" s="38"/>
      <c r="F97" s="39"/>
      <c r="G97" s="39"/>
      <c r="H97" s="38"/>
      <c r="I97" s="38"/>
      <c r="J97" s="38"/>
      <c r="K97" s="38"/>
    </row>
    <row r="98" spans="1:11" x14ac:dyDescent="0.2">
      <c r="A98" s="38"/>
      <c r="B98" s="38"/>
      <c r="C98" s="39"/>
      <c r="D98" s="39"/>
      <c r="E98" s="38"/>
      <c r="F98" s="39"/>
      <c r="G98" s="39"/>
      <c r="H98" s="38"/>
      <c r="I98" s="38"/>
      <c r="J98" s="38"/>
      <c r="K98" s="38"/>
    </row>
    <row r="99" spans="1:11" x14ac:dyDescent="0.2">
      <c r="A99" s="38"/>
      <c r="B99" s="38"/>
      <c r="C99" s="39"/>
      <c r="D99" s="39"/>
      <c r="E99" s="38"/>
      <c r="F99" s="39"/>
      <c r="G99" s="39"/>
      <c r="H99" s="38"/>
      <c r="I99" s="38"/>
      <c r="J99" s="38"/>
      <c r="K99" s="38"/>
    </row>
    <row r="100" spans="1:11" x14ac:dyDescent="0.2">
      <c r="A100" s="38"/>
      <c r="B100" s="38"/>
      <c r="C100" s="39"/>
      <c r="D100" s="39"/>
      <c r="E100" s="38"/>
      <c r="F100" s="39"/>
      <c r="G100" s="39"/>
      <c r="H100" s="38"/>
      <c r="I100" s="38"/>
      <c r="J100" s="38"/>
      <c r="K100" s="38"/>
    </row>
    <row r="101" spans="1:11" x14ac:dyDescent="0.2">
      <c r="A101" s="38"/>
      <c r="B101" s="38"/>
      <c r="C101" s="39"/>
      <c r="D101" s="39"/>
      <c r="E101" s="38"/>
      <c r="F101" s="39"/>
      <c r="G101" s="39"/>
      <c r="H101" s="38"/>
      <c r="I101" s="38"/>
      <c r="J101" s="38"/>
      <c r="K101" s="38"/>
    </row>
    <row r="102" spans="1:11" x14ac:dyDescent="0.2">
      <c r="A102" s="38"/>
      <c r="B102" s="38"/>
      <c r="C102" s="39"/>
      <c r="D102" s="39"/>
      <c r="E102" s="38"/>
      <c r="F102" s="39"/>
      <c r="G102" s="39"/>
      <c r="H102" s="38"/>
      <c r="I102" s="38"/>
      <c r="J102" s="38"/>
      <c r="K102" s="38"/>
    </row>
    <row r="103" spans="1:11" x14ac:dyDescent="0.2">
      <c r="A103" s="38"/>
      <c r="B103" s="38"/>
      <c r="C103" s="39"/>
      <c r="D103" s="39"/>
      <c r="E103" s="38"/>
      <c r="F103" s="39"/>
      <c r="G103" s="39"/>
      <c r="H103" s="38"/>
      <c r="I103" s="38"/>
      <c r="J103" s="38"/>
      <c r="K103" s="38"/>
    </row>
    <row r="104" spans="1:11" x14ac:dyDescent="0.2">
      <c r="A104" s="38"/>
      <c r="B104" s="38"/>
      <c r="C104" s="39"/>
      <c r="D104" s="39"/>
      <c r="E104" s="38"/>
      <c r="F104" s="39"/>
      <c r="G104" s="39"/>
      <c r="H104" s="38"/>
      <c r="I104" s="38"/>
      <c r="J104" s="38"/>
      <c r="K104" s="38"/>
    </row>
    <row r="105" spans="1:11" x14ac:dyDescent="0.2">
      <c r="A105" s="38"/>
      <c r="B105" s="38"/>
      <c r="C105" s="39"/>
      <c r="D105" s="39"/>
      <c r="E105" s="38"/>
      <c r="F105" s="39"/>
      <c r="G105" s="39"/>
      <c r="H105" s="38"/>
      <c r="I105" s="38"/>
      <c r="J105" s="38"/>
      <c r="K105" s="38"/>
    </row>
    <row r="106" spans="1:11" x14ac:dyDescent="0.2">
      <c r="A106" s="38"/>
      <c r="B106" s="38"/>
      <c r="C106" s="39"/>
      <c r="D106" s="39"/>
      <c r="E106" s="38"/>
      <c r="F106" s="39"/>
      <c r="G106" s="39"/>
      <c r="H106" s="38"/>
      <c r="I106" s="38"/>
      <c r="J106" s="38"/>
      <c r="K106" s="38"/>
    </row>
    <row r="107" spans="1:11" x14ac:dyDescent="0.2">
      <c r="A107" s="38"/>
      <c r="B107" s="38"/>
      <c r="C107" s="39"/>
      <c r="D107" s="39"/>
      <c r="E107" s="38"/>
      <c r="F107" s="39"/>
      <c r="G107" s="39"/>
      <c r="H107" s="38"/>
      <c r="I107" s="38"/>
      <c r="J107" s="38"/>
      <c r="K107" s="38"/>
    </row>
    <row r="108" spans="1:11" x14ac:dyDescent="0.2">
      <c r="A108" s="38"/>
      <c r="B108" s="38"/>
      <c r="C108" s="39"/>
      <c r="D108" s="39"/>
      <c r="E108" s="38"/>
      <c r="F108" s="39"/>
      <c r="G108" s="39"/>
      <c r="H108" s="38"/>
      <c r="I108" s="38"/>
      <c r="J108" s="38"/>
      <c r="K108" s="38"/>
    </row>
    <row r="109" spans="1:11" x14ac:dyDescent="0.2">
      <c r="A109" s="38"/>
      <c r="B109" s="38"/>
      <c r="C109" s="39"/>
      <c r="D109" s="39"/>
      <c r="E109" s="38"/>
      <c r="F109" s="39"/>
      <c r="G109" s="39"/>
      <c r="H109" s="38"/>
      <c r="I109" s="38"/>
      <c r="J109" s="38"/>
      <c r="K109" s="38"/>
    </row>
    <row r="110" spans="1:11" x14ac:dyDescent="0.2">
      <c r="A110" s="38"/>
      <c r="B110" s="38"/>
      <c r="C110" s="39"/>
      <c r="D110" s="39"/>
      <c r="E110" s="38"/>
      <c r="F110" s="39"/>
      <c r="G110" s="39"/>
      <c r="H110" s="38"/>
      <c r="I110" s="38"/>
      <c r="J110" s="38"/>
      <c r="K110" s="38"/>
    </row>
    <row r="111" spans="1:11" x14ac:dyDescent="0.2">
      <c r="A111" s="38"/>
      <c r="B111" s="38"/>
      <c r="C111" s="39"/>
      <c r="D111" s="39"/>
      <c r="E111" s="38"/>
      <c r="F111" s="39"/>
      <c r="G111" s="39"/>
      <c r="H111" s="38"/>
      <c r="I111" s="38"/>
      <c r="J111" s="38"/>
      <c r="K111" s="38"/>
    </row>
    <row r="112" spans="1:11" x14ac:dyDescent="0.2">
      <c r="A112" s="38"/>
      <c r="B112" s="38"/>
      <c r="C112" s="39"/>
      <c r="D112" s="39"/>
      <c r="E112" s="38"/>
      <c r="F112" s="39"/>
      <c r="G112" s="39"/>
      <c r="H112" s="38"/>
      <c r="I112" s="38"/>
      <c r="J112" s="38"/>
      <c r="K112" s="38"/>
    </row>
    <row r="113" spans="1:11" x14ac:dyDescent="0.2">
      <c r="A113" s="38"/>
      <c r="B113" s="38"/>
      <c r="C113" s="39"/>
      <c r="D113" s="39"/>
      <c r="E113" s="38"/>
      <c r="F113" s="39"/>
      <c r="G113" s="39"/>
      <c r="H113" s="38"/>
      <c r="I113" s="38"/>
      <c r="J113" s="38"/>
      <c r="K113" s="38"/>
    </row>
    <row r="114" spans="1:11" x14ac:dyDescent="0.2">
      <c r="A114" s="38"/>
      <c r="B114" s="38"/>
      <c r="C114" s="39"/>
      <c r="D114" s="39"/>
      <c r="E114" s="38"/>
      <c r="F114" s="39"/>
      <c r="G114" s="39"/>
      <c r="H114" s="38"/>
      <c r="I114" s="38"/>
      <c r="J114" s="38"/>
      <c r="K114" s="38"/>
    </row>
    <row r="115" spans="1:11" x14ac:dyDescent="0.2">
      <c r="A115" s="38"/>
      <c r="B115" s="38"/>
      <c r="C115" s="39"/>
      <c r="D115" s="39"/>
      <c r="E115" s="38"/>
      <c r="F115" s="39"/>
      <c r="G115" s="39"/>
      <c r="H115" s="38"/>
      <c r="I115" s="38"/>
      <c r="J115" s="38"/>
      <c r="K115" s="38"/>
    </row>
    <row r="116" spans="1:11" x14ac:dyDescent="0.2">
      <c r="A116" s="38"/>
      <c r="B116" s="38"/>
      <c r="C116" s="39"/>
      <c r="D116" s="39"/>
      <c r="E116" s="38"/>
      <c r="F116" s="39"/>
      <c r="G116" s="39"/>
      <c r="H116" s="38"/>
      <c r="I116" s="38"/>
      <c r="J116" s="38"/>
      <c r="K116" s="38"/>
    </row>
    <row r="117" spans="1:11" x14ac:dyDescent="0.2">
      <c r="A117" s="38"/>
      <c r="B117" s="38"/>
      <c r="C117" s="39"/>
      <c r="D117" s="39"/>
      <c r="E117" s="38"/>
      <c r="F117" s="39"/>
      <c r="G117" s="39"/>
      <c r="H117" s="38"/>
      <c r="I117" s="38"/>
      <c r="J117" s="38"/>
      <c r="K117" s="38"/>
    </row>
    <row r="118" spans="1:11" x14ac:dyDescent="0.2">
      <c r="A118" s="38"/>
      <c r="B118" s="38"/>
      <c r="C118" s="39"/>
      <c r="D118" s="39"/>
      <c r="E118" s="38"/>
      <c r="F118" s="39"/>
      <c r="G118" s="39"/>
      <c r="H118" s="38"/>
      <c r="I118" s="38"/>
      <c r="J118" s="38"/>
      <c r="K118" s="38"/>
    </row>
    <row r="119" spans="1:11" x14ac:dyDescent="0.2">
      <c r="A119" s="38"/>
      <c r="B119" s="38"/>
      <c r="C119" s="39"/>
      <c r="D119" s="39"/>
      <c r="E119" s="38"/>
      <c r="F119" s="39"/>
      <c r="G119" s="39"/>
      <c r="H119" s="38"/>
      <c r="I119" s="38"/>
      <c r="J119" s="38"/>
      <c r="K119" s="38"/>
    </row>
    <row r="120" spans="1:11" x14ac:dyDescent="0.2">
      <c r="A120" s="38"/>
      <c r="B120" s="38"/>
      <c r="C120" s="39"/>
      <c r="D120" s="39"/>
      <c r="E120" s="38"/>
      <c r="F120" s="39"/>
      <c r="G120" s="39"/>
      <c r="H120" s="38"/>
      <c r="I120" s="38"/>
      <c r="J120" s="38"/>
      <c r="K120" s="38"/>
    </row>
    <row r="121" spans="1:11" x14ac:dyDescent="0.2">
      <c r="A121" s="38"/>
      <c r="B121" s="38"/>
      <c r="C121" s="39"/>
      <c r="D121" s="39"/>
      <c r="E121" s="38"/>
      <c r="F121" s="39"/>
      <c r="G121" s="39"/>
      <c r="H121" s="38"/>
      <c r="I121" s="38"/>
      <c r="J121" s="38"/>
      <c r="K121" s="38"/>
    </row>
    <row r="122" spans="1:11" x14ac:dyDescent="0.2">
      <c r="A122" s="38"/>
      <c r="B122" s="38"/>
      <c r="C122" s="39"/>
      <c r="D122" s="39"/>
      <c r="E122" s="38"/>
      <c r="F122" s="39"/>
      <c r="G122" s="39"/>
      <c r="H122" s="38"/>
      <c r="I122" s="38"/>
      <c r="J122" s="38"/>
      <c r="K122" s="38"/>
    </row>
    <row r="123" spans="1:11" x14ac:dyDescent="0.2">
      <c r="A123" s="38"/>
      <c r="B123" s="38"/>
      <c r="C123" s="39"/>
      <c r="D123" s="39"/>
      <c r="E123" s="38"/>
      <c r="F123" s="39"/>
      <c r="G123" s="39"/>
      <c r="H123" s="38"/>
      <c r="I123" s="38"/>
      <c r="J123" s="38"/>
      <c r="K123" s="38"/>
    </row>
    <row r="124" spans="1:11" x14ac:dyDescent="0.2">
      <c r="A124" s="38"/>
      <c r="B124" s="38"/>
      <c r="C124" s="39"/>
      <c r="D124" s="39"/>
      <c r="E124" s="38"/>
      <c r="F124" s="39"/>
      <c r="G124" s="39"/>
      <c r="H124" s="38"/>
      <c r="I124" s="38"/>
      <c r="J124" s="38"/>
      <c r="K124" s="38"/>
    </row>
    <row r="125" spans="1:11" x14ac:dyDescent="0.2">
      <c r="A125" s="38"/>
      <c r="B125" s="38"/>
      <c r="C125" s="39"/>
      <c r="D125" s="39"/>
      <c r="E125" s="38"/>
      <c r="F125" s="39"/>
      <c r="G125" s="39"/>
      <c r="H125" s="38"/>
      <c r="I125" s="38"/>
      <c r="J125" s="38"/>
      <c r="K125" s="38"/>
    </row>
    <row r="126" spans="1:11" x14ac:dyDescent="0.2">
      <c r="A126" s="38"/>
      <c r="B126" s="38"/>
      <c r="C126" s="39"/>
      <c r="D126" s="39"/>
      <c r="E126" s="38"/>
      <c r="F126" s="39"/>
      <c r="G126" s="39"/>
      <c r="H126" s="38"/>
      <c r="I126" s="38"/>
      <c r="J126" s="38"/>
      <c r="K126" s="38"/>
    </row>
    <row r="127" spans="1:11" x14ac:dyDescent="0.2">
      <c r="A127" s="38"/>
      <c r="B127" s="38"/>
      <c r="C127" s="39"/>
      <c r="D127" s="39"/>
      <c r="E127" s="38"/>
      <c r="F127" s="39"/>
      <c r="G127" s="39"/>
      <c r="H127" s="38"/>
      <c r="I127" s="38"/>
      <c r="J127" s="38"/>
      <c r="K127" s="38"/>
    </row>
    <row r="128" spans="1:11" x14ac:dyDescent="0.2">
      <c r="A128" s="38"/>
      <c r="B128" s="38"/>
      <c r="C128" s="39"/>
      <c r="D128" s="39"/>
      <c r="E128" s="38"/>
      <c r="F128" s="39"/>
      <c r="G128" s="39"/>
      <c r="H128" s="38"/>
      <c r="I128" s="38"/>
      <c r="J128" s="38"/>
      <c r="K128" s="38"/>
    </row>
    <row r="129" spans="1:11" x14ac:dyDescent="0.2">
      <c r="A129" s="38"/>
      <c r="B129" s="38"/>
      <c r="C129" s="39"/>
      <c r="D129" s="39"/>
      <c r="E129" s="38"/>
      <c r="F129" s="39"/>
      <c r="G129" s="39"/>
      <c r="H129" s="38"/>
      <c r="I129" s="38"/>
      <c r="J129" s="38"/>
      <c r="K129" s="38"/>
    </row>
    <row r="130" spans="1:11" x14ac:dyDescent="0.2">
      <c r="A130" s="38"/>
      <c r="B130" s="38"/>
      <c r="C130" s="39"/>
      <c r="D130" s="39"/>
      <c r="E130" s="38"/>
      <c r="F130" s="39"/>
      <c r="G130" s="39"/>
      <c r="H130" s="38"/>
      <c r="I130" s="38"/>
      <c r="J130" s="38"/>
      <c r="K130" s="38"/>
    </row>
    <row r="131" spans="1:11" x14ac:dyDescent="0.2">
      <c r="A131" s="38"/>
      <c r="B131" s="38"/>
      <c r="C131" s="39"/>
      <c r="D131" s="39"/>
      <c r="E131" s="38"/>
      <c r="F131" s="39"/>
      <c r="G131" s="39"/>
      <c r="H131" s="38"/>
      <c r="I131" s="38"/>
      <c r="J131" s="38"/>
      <c r="K131" s="38"/>
    </row>
    <row r="132" spans="1:11" x14ac:dyDescent="0.2">
      <c r="A132" s="38"/>
      <c r="B132" s="38"/>
      <c r="C132" s="39"/>
      <c r="D132" s="39"/>
      <c r="E132" s="38"/>
      <c r="F132" s="39"/>
      <c r="G132" s="39"/>
      <c r="H132" s="38"/>
      <c r="I132" s="38"/>
      <c r="J132" s="38"/>
      <c r="K132" s="38"/>
    </row>
    <row r="133" spans="1:11" x14ac:dyDescent="0.2">
      <c r="A133" s="38"/>
      <c r="B133" s="38"/>
      <c r="C133" s="39"/>
      <c r="D133" s="39"/>
      <c r="E133" s="38"/>
      <c r="F133" s="39"/>
      <c r="G133" s="39"/>
      <c r="H133" s="38"/>
      <c r="I133" s="38"/>
      <c r="J133" s="38"/>
      <c r="K133" s="38"/>
    </row>
    <row r="134" spans="1:11" x14ac:dyDescent="0.2">
      <c r="A134" s="38"/>
      <c r="B134" s="38"/>
      <c r="C134" s="39"/>
      <c r="D134" s="39"/>
      <c r="E134" s="38"/>
      <c r="F134" s="39"/>
      <c r="G134" s="39"/>
      <c r="H134" s="38"/>
      <c r="I134" s="38"/>
      <c r="J134" s="38"/>
      <c r="K134" s="38"/>
    </row>
    <row r="135" spans="1:11" x14ac:dyDescent="0.2">
      <c r="A135" s="38"/>
      <c r="B135" s="38"/>
      <c r="C135" s="39"/>
      <c r="D135" s="39"/>
      <c r="E135" s="38"/>
      <c r="F135" s="39"/>
      <c r="G135" s="39"/>
      <c r="H135" s="38"/>
      <c r="I135" s="38"/>
      <c r="J135" s="38"/>
      <c r="K135" s="38"/>
    </row>
    <row r="136" spans="1:11" x14ac:dyDescent="0.2">
      <c r="A136" s="38"/>
      <c r="B136" s="38"/>
      <c r="C136" s="39"/>
      <c r="D136" s="39"/>
      <c r="E136" s="38"/>
      <c r="F136" s="39"/>
      <c r="G136" s="39"/>
      <c r="H136" s="38"/>
      <c r="I136" s="38"/>
      <c r="J136" s="38"/>
      <c r="K136" s="38"/>
    </row>
    <row r="137" spans="1:11" x14ac:dyDescent="0.2">
      <c r="A137" s="38"/>
      <c r="B137" s="38"/>
      <c r="C137" s="39"/>
      <c r="D137" s="39"/>
      <c r="E137" s="38"/>
      <c r="F137" s="39"/>
      <c r="G137" s="39"/>
      <c r="H137" s="38"/>
      <c r="I137" s="38"/>
      <c r="J137" s="38"/>
      <c r="K137" s="38"/>
    </row>
    <row r="138" spans="1:11" x14ac:dyDescent="0.2">
      <c r="A138" s="38"/>
      <c r="B138" s="38"/>
      <c r="C138" s="39"/>
      <c r="D138" s="39"/>
      <c r="E138" s="38"/>
      <c r="F138" s="39"/>
      <c r="G138" s="39"/>
      <c r="H138" s="38"/>
      <c r="I138" s="38"/>
      <c r="J138" s="38"/>
      <c r="K138" s="38"/>
    </row>
    <row r="139" spans="1:11" x14ac:dyDescent="0.2">
      <c r="A139" s="38"/>
      <c r="B139" s="38"/>
      <c r="C139" s="39"/>
      <c r="D139" s="39"/>
      <c r="E139" s="38"/>
      <c r="F139" s="39"/>
      <c r="G139" s="39"/>
      <c r="H139" s="38"/>
      <c r="I139" s="38"/>
      <c r="J139" s="38"/>
      <c r="K139" s="38"/>
    </row>
    <row r="140" spans="1:11" x14ac:dyDescent="0.2">
      <c r="A140" s="38"/>
      <c r="B140" s="38"/>
      <c r="C140" s="39"/>
      <c r="D140" s="39"/>
      <c r="E140" s="38"/>
      <c r="F140" s="39"/>
      <c r="G140" s="39"/>
      <c r="H140" s="38"/>
      <c r="I140" s="38"/>
      <c r="J140" s="38"/>
      <c r="K140" s="38"/>
    </row>
    <row r="141" spans="1:11" x14ac:dyDescent="0.2">
      <c r="A141" s="38"/>
      <c r="B141" s="38"/>
      <c r="C141" s="39"/>
      <c r="D141" s="39"/>
      <c r="E141" s="38"/>
      <c r="F141" s="39"/>
      <c r="G141" s="39"/>
      <c r="H141" s="38"/>
      <c r="I141" s="38"/>
      <c r="J141" s="38"/>
      <c r="K141" s="38"/>
    </row>
    <row r="142" spans="1:11" x14ac:dyDescent="0.2">
      <c r="A142" s="38"/>
      <c r="B142" s="38"/>
      <c r="C142" s="39"/>
      <c r="D142" s="39"/>
      <c r="E142" s="38"/>
      <c r="F142" s="39"/>
      <c r="G142" s="39"/>
      <c r="H142" s="38"/>
      <c r="I142" s="38"/>
      <c r="J142" s="38"/>
      <c r="K142" s="38"/>
    </row>
    <row r="143" spans="1:11" x14ac:dyDescent="0.2">
      <c r="A143" s="38"/>
      <c r="B143" s="38"/>
      <c r="C143" s="39"/>
      <c r="D143" s="39"/>
      <c r="E143" s="38"/>
      <c r="F143" s="39"/>
      <c r="G143" s="39"/>
      <c r="H143" s="38"/>
      <c r="I143" s="38"/>
      <c r="J143" s="38"/>
      <c r="K143" s="38"/>
    </row>
    <row r="144" spans="1:11" x14ac:dyDescent="0.2">
      <c r="A144" s="38"/>
      <c r="B144" s="38"/>
      <c r="C144" s="39"/>
      <c r="D144" s="39"/>
      <c r="E144" s="38"/>
      <c r="F144" s="39"/>
      <c r="G144" s="39"/>
      <c r="H144" s="38"/>
      <c r="I144" s="38"/>
      <c r="J144" s="38"/>
      <c r="K144" s="38"/>
    </row>
    <row r="145" spans="1:11" x14ac:dyDescent="0.2">
      <c r="A145" s="38"/>
      <c r="B145" s="38"/>
      <c r="C145" s="39"/>
      <c r="D145" s="39"/>
      <c r="E145" s="38"/>
      <c r="F145" s="39"/>
      <c r="G145" s="39"/>
      <c r="H145" s="38"/>
      <c r="I145" s="38"/>
      <c r="J145" s="38"/>
      <c r="K145" s="38"/>
    </row>
    <row r="146" spans="1:11" x14ac:dyDescent="0.2">
      <c r="A146" s="38"/>
      <c r="B146" s="38"/>
      <c r="C146" s="39"/>
      <c r="D146" s="39"/>
      <c r="E146" s="38"/>
      <c r="F146" s="39"/>
      <c r="G146" s="39"/>
      <c r="H146" s="38"/>
      <c r="I146" s="38"/>
      <c r="J146" s="38"/>
      <c r="K146" s="38"/>
    </row>
    <row r="147" spans="1:11" x14ac:dyDescent="0.2">
      <c r="A147" s="38"/>
      <c r="B147" s="38"/>
      <c r="C147" s="39"/>
      <c r="D147" s="39"/>
      <c r="E147" s="38"/>
      <c r="F147" s="39"/>
      <c r="G147" s="39"/>
      <c r="H147" s="38"/>
      <c r="I147" s="38"/>
      <c r="J147" s="38"/>
      <c r="K147" s="38"/>
    </row>
    <row r="148" spans="1:11" x14ac:dyDescent="0.2">
      <c r="A148" s="38"/>
      <c r="B148" s="38"/>
      <c r="C148" s="39"/>
      <c r="D148" s="39"/>
      <c r="E148" s="38"/>
      <c r="F148" s="39"/>
      <c r="G148" s="39"/>
      <c r="H148" s="38"/>
      <c r="I148" s="38"/>
      <c r="J148" s="38"/>
      <c r="K148" s="38"/>
    </row>
    <row r="149" spans="1:11" x14ac:dyDescent="0.2">
      <c r="A149" s="38"/>
      <c r="B149" s="38"/>
      <c r="C149" s="39"/>
      <c r="D149" s="39"/>
      <c r="E149" s="38"/>
      <c r="F149" s="39"/>
      <c r="G149" s="39"/>
      <c r="H149" s="38"/>
      <c r="I149" s="38"/>
      <c r="J149" s="38"/>
      <c r="K149" s="38"/>
    </row>
    <row r="150" spans="1:11" x14ac:dyDescent="0.2">
      <c r="A150" s="38"/>
      <c r="B150" s="38"/>
      <c r="C150" s="39"/>
      <c r="D150" s="39"/>
      <c r="E150" s="38"/>
      <c r="F150" s="39"/>
      <c r="G150" s="39"/>
      <c r="H150" s="38"/>
      <c r="I150" s="38"/>
      <c r="J150" s="38"/>
      <c r="K150" s="38"/>
    </row>
    <row r="151" spans="1:11" x14ac:dyDescent="0.2">
      <c r="A151" s="38"/>
      <c r="B151" s="38"/>
      <c r="C151" s="39"/>
      <c r="D151" s="39"/>
      <c r="E151" s="38"/>
      <c r="F151" s="39"/>
      <c r="G151" s="39"/>
      <c r="H151" s="38"/>
      <c r="I151" s="38"/>
      <c r="J151" s="38"/>
      <c r="K151" s="38"/>
    </row>
    <row r="152" spans="1:11" x14ac:dyDescent="0.2">
      <c r="A152" s="38"/>
      <c r="B152" s="38"/>
      <c r="C152" s="39"/>
      <c r="D152" s="39"/>
      <c r="E152" s="38"/>
      <c r="F152" s="39"/>
      <c r="G152" s="39"/>
      <c r="H152" s="38"/>
      <c r="I152" s="38"/>
      <c r="J152" s="38"/>
      <c r="K152" s="38"/>
    </row>
    <row r="153" spans="1:11" x14ac:dyDescent="0.2">
      <c r="A153" s="38"/>
      <c r="B153" s="38"/>
      <c r="C153" s="39"/>
      <c r="D153" s="39"/>
      <c r="E153" s="38"/>
      <c r="F153" s="39"/>
      <c r="G153" s="39"/>
      <c r="H153" s="38"/>
      <c r="I153" s="38"/>
      <c r="J153" s="38"/>
      <c r="K153" s="38"/>
    </row>
    <row r="154" spans="1:11" x14ac:dyDescent="0.2">
      <c r="A154" s="38"/>
      <c r="B154" s="38"/>
      <c r="C154" s="39"/>
      <c r="D154" s="39"/>
      <c r="E154" s="38"/>
      <c r="F154" s="39"/>
      <c r="G154" s="39"/>
      <c r="H154" s="38"/>
      <c r="I154" s="38"/>
      <c r="J154" s="38"/>
      <c r="K154" s="38"/>
    </row>
    <row r="155" spans="1:11" x14ac:dyDescent="0.2">
      <c r="A155" s="38"/>
      <c r="B155" s="38"/>
      <c r="C155" s="39"/>
      <c r="D155" s="39"/>
      <c r="E155" s="38"/>
      <c r="F155" s="39"/>
      <c r="G155" s="39"/>
      <c r="H155" s="38"/>
      <c r="I155" s="38"/>
      <c r="J155" s="38"/>
      <c r="K155" s="38"/>
    </row>
    <row r="156" spans="1:11" x14ac:dyDescent="0.2">
      <c r="A156" s="38"/>
      <c r="B156" s="38"/>
      <c r="C156" s="39"/>
      <c r="D156" s="39"/>
      <c r="E156" s="38"/>
      <c r="F156" s="39"/>
      <c r="G156" s="39"/>
      <c r="H156" s="38"/>
      <c r="I156" s="38"/>
      <c r="J156" s="38"/>
      <c r="K156" s="38"/>
    </row>
    <row r="157" spans="1:11" x14ac:dyDescent="0.2">
      <c r="A157" s="38"/>
      <c r="B157" s="38"/>
      <c r="C157" s="39"/>
      <c r="D157" s="39"/>
      <c r="E157" s="38"/>
      <c r="F157" s="39"/>
      <c r="G157" s="39"/>
      <c r="H157" s="38"/>
      <c r="I157" s="38"/>
      <c r="J157" s="38"/>
      <c r="K157" s="38"/>
    </row>
    <row r="158" spans="1:11" x14ac:dyDescent="0.2">
      <c r="A158" s="38"/>
      <c r="B158" s="38"/>
      <c r="C158" s="39"/>
      <c r="D158" s="39"/>
      <c r="E158" s="38"/>
      <c r="F158" s="39"/>
      <c r="G158" s="39"/>
      <c r="H158" s="38"/>
      <c r="I158" s="38"/>
      <c r="J158" s="38"/>
      <c r="K158" s="38"/>
    </row>
    <row r="159" spans="1:11" x14ac:dyDescent="0.2">
      <c r="A159" s="38"/>
      <c r="B159" s="38"/>
      <c r="C159" s="39"/>
      <c r="D159" s="39"/>
      <c r="E159" s="38"/>
      <c r="F159" s="39"/>
      <c r="G159" s="39"/>
      <c r="H159" s="38"/>
      <c r="I159" s="38"/>
      <c r="J159" s="38"/>
      <c r="K159" s="38"/>
    </row>
    <row r="160" spans="1:11" x14ac:dyDescent="0.2">
      <c r="A160" s="38"/>
      <c r="B160" s="38"/>
      <c r="C160" s="39"/>
      <c r="D160" s="39"/>
      <c r="E160" s="38"/>
      <c r="F160" s="39"/>
      <c r="G160" s="39"/>
      <c r="H160" s="38"/>
      <c r="I160" s="38"/>
      <c r="J160" s="38"/>
      <c r="K160" s="38"/>
    </row>
    <row r="161" spans="1:11" x14ac:dyDescent="0.2">
      <c r="A161" s="38"/>
      <c r="B161" s="38"/>
      <c r="C161" s="39"/>
      <c r="D161" s="39"/>
      <c r="E161" s="38"/>
      <c r="F161" s="39"/>
      <c r="G161" s="39"/>
      <c r="H161" s="38"/>
      <c r="I161" s="38"/>
      <c r="J161" s="38"/>
      <c r="K161" s="38"/>
    </row>
    <row r="162" spans="1:11" x14ac:dyDescent="0.2">
      <c r="A162" s="38"/>
      <c r="B162" s="38"/>
      <c r="C162" s="39"/>
      <c r="D162" s="39"/>
      <c r="E162" s="38"/>
      <c r="F162" s="39"/>
      <c r="G162" s="39"/>
      <c r="H162" s="38"/>
      <c r="I162" s="38"/>
      <c r="J162" s="38"/>
      <c r="K162" s="38"/>
    </row>
    <row r="163" spans="1:11" x14ac:dyDescent="0.2">
      <c r="A163" s="38"/>
      <c r="B163" s="38"/>
      <c r="C163" s="39"/>
      <c r="D163" s="39"/>
      <c r="E163" s="38"/>
      <c r="F163" s="39"/>
      <c r="G163" s="39"/>
      <c r="H163" s="38"/>
      <c r="I163" s="38"/>
      <c r="J163" s="38"/>
      <c r="K163" s="38"/>
    </row>
    <row r="164" spans="1:11" x14ac:dyDescent="0.2">
      <c r="A164" s="38"/>
      <c r="B164" s="38"/>
      <c r="C164" s="39"/>
      <c r="D164" s="39"/>
      <c r="E164" s="38"/>
      <c r="F164" s="39"/>
      <c r="G164" s="39"/>
      <c r="H164" s="38"/>
      <c r="I164" s="38"/>
      <c r="J164" s="38"/>
      <c r="K164" s="38"/>
    </row>
    <row r="165" spans="1:11" x14ac:dyDescent="0.2">
      <c r="A165" s="38"/>
      <c r="B165" s="38"/>
      <c r="C165" s="39"/>
      <c r="D165" s="39"/>
      <c r="E165" s="38"/>
      <c r="F165" s="39"/>
      <c r="G165" s="39"/>
      <c r="H165" s="38"/>
      <c r="I165" s="38"/>
      <c r="J165" s="38"/>
      <c r="K165" s="38"/>
    </row>
    <row r="166" spans="1:11" x14ac:dyDescent="0.2">
      <c r="A166" s="38"/>
      <c r="B166" s="38"/>
      <c r="C166" s="39"/>
      <c r="D166" s="39"/>
      <c r="E166" s="38"/>
      <c r="F166" s="39"/>
      <c r="G166" s="39"/>
      <c r="H166" s="38"/>
      <c r="I166" s="38"/>
      <c r="J166" s="38"/>
      <c r="K166" s="38"/>
    </row>
    <row r="167" spans="1:11" x14ac:dyDescent="0.2">
      <c r="A167" s="38"/>
      <c r="B167" s="38"/>
      <c r="C167" s="39"/>
      <c r="D167" s="39"/>
      <c r="E167" s="38"/>
      <c r="F167" s="39"/>
      <c r="G167" s="39"/>
      <c r="H167" s="38"/>
      <c r="I167" s="38"/>
      <c r="J167" s="38"/>
      <c r="K167" s="38"/>
    </row>
    <row r="168" spans="1:11" x14ac:dyDescent="0.2">
      <c r="A168" s="38"/>
      <c r="B168" s="38"/>
      <c r="C168" s="39"/>
      <c r="D168" s="39"/>
      <c r="E168" s="38"/>
      <c r="F168" s="39"/>
      <c r="G168" s="39"/>
      <c r="H168" s="38"/>
      <c r="I168" s="38"/>
      <c r="J168" s="38"/>
      <c r="K168" s="38"/>
    </row>
    <row r="169" spans="1:11" x14ac:dyDescent="0.2">
      <c r="A169" s="38"/>
      <c r="B169" s="38"/>
      <c r="C169" s="39"/>
      <c r="D169" s="39"/>
      <c r="E169" s="38"/>
      <c r="F169" s="39"/>
      <c r="G169" s="39"/>
      <c r="H169" s="38"/>
      <c r="I169" s="38"/>
      <c r="J169" s="38"/>
      <c r="K169" s="38"/>
    </row>
    <row r="170" spans="1:11" x14ac:dyDescent="0.2">
      <c r="A170" s="38"/>
      <c r="B170" s="38"/>
      <c r="C170" s="39"/>
      <c r="D170" s="39"/>
      <c r="E170" s="38"/>
      <c r="F170" s="39"/>
      <c r="G170" s="39"/>
      <c r="H170" s="38"/>
      <c r="I170" s="38"/>
      <c r="J170" s="38"/>
      <c r="K170" s="38"/>
    </row>
    <row r="171" spans="1:11" x14ac:dyDescent="0.2">
      <c r="A171" s="38"/>
      <c r="B171" s="38"/>
      <c r="C171" s="39"/>
      <c r="D171" s="39"/>
      <c r="E171" s="38"/>
      <c r="F171" s="39"/>
      <c r="G171" s="39"/>
      <c r="H171" s="38"/>
      <c r="I171" s="38"/>
      <c r="J171" s="38"/>
      <c r="K171" s="38"/>
    </row>
    <row r="172" spans="1:11" x14ac:dyDescent="0.2">
      <c r="A172" s="38"/>
      <c r="B172" s="38"/>
      <c r="C172" s="39"/>
      <c r="D172" s="39"/>
      <c r="E172" s="38"/>
      <c r="F172" s="39"/>
      <c r="G172" s="39"/>
      <c r="H172" s="38"/>
      <c r="I172" s="38"/>
      <c r="J172" s="38"/>
      <c r="K172" s="38"/>
    </row>
    <row r="173" spans="1:11" x14ac:dyDescent="0.2">
      <c r="A173" s="38"/>
      <c r="B173" s="38"/>
      <c r="C173" s="39"/>
      <c r="D173" s="39"/>
      <c r="E173" s="38"/>
      <c r="F173" s="39"/>
      <c r="G173" s="39"/>
      <c r="H173" s="38"/>
      <c r="I173" s="38"/>
      <c r="J173" s="38"/>
      <c r="K173" s="38"/>
    </row>
    <row r="174" spans="1:11" x14ac:dyDescent="0.2">
      <c r="A174" s="38"/>
      <c r="B174" s="38"/>
      <c r="C174" s="39"/>
      <c r="D174" s="39"/>
      <c r="E174" s="38"/>
      <c r="F174" s="39"/>
      <c r="G174" s="39"/>
      <c r="H174" s="38"/>
      <c r="I174" s="38"/>
      <c r="J174" s="38"/>
      <c r="K174" s="38"/>
    </row>
    <row r="175" spans="1:11" x14ac:dyDescent="0.2">
      <c r="A175" s="38"/>
      <c r="B175" s="38"/>
      <c r="C175" s="39"/>
      <c r="D175" s="39"/>
      <c r="E175" s="38"/>
      <c r="F175" s="39"/>
      <c r="G175" s="39"/>
      <c r="H175" s="38"/>
      <c r="I175" s="38"/>
      <c r="J175" s="38"/>
      <c r="K175" s="38"/>
    </row>
    <row r="176" spans="1:11" x14ac:dyDescent="0.2">
      <c r="A176" s="38"/>
      <c r="B176" s="38"/>
      <c r="C176" s="39"/>
      <c r="D176" s="39"/>
      <c r="E176" s="38"/>
      <c r="F176" s="39"/>
      <c r="G176" s="39"/>
      <c r="H176" s="38"/>
      <c r="I176" s="38"/>
      <c r="J176" s="38"/>
      <c r="K176" s="38"/>
    </row>
    <row r="177" spans="1:11" x14ac:dyDescent="0.2">
      <c r="A177" s="38"/>
      <c r="B177" s="38"/>
      <c r="C177" s="39"/>
      <c r="D177" s="39"/>
      <c r="E177" s="38"/>
      <c r="F177" s="39"/>
      <c r="G177" s="39"/>
      <c r="H177" s="38"/>
      <c r="I177" s="38"/>
      <c r="J177" s="38"/>
      <c r="K177" s="38"/>
    </row>
    <row r="178" spans="1:11" x14ac:dyDescent="0.2">
      <c r="A178" s="38"/>
      <c r="B178" s="38"/>
      <c r="C178" s="39"/>
      <c r="D178" s="39"/>
      <c r="E178" s="38"/>
      <c r="F178" s="39"/>
      <c r="G178" s="39"/>
      <c r="H178" s="38"/>
      <c r="I178" s="38"/>
      <c r="J178" s="38"/>
      <c r="K178" s="38"/>
    </row>
    <row r="179" spans="1:11" x14ac:dyDescent="0.2">
      <c r="A179" s="38"/>
      <c r="B179" s="38"/>
      <c r="C179" s="39"/>
      <c r="D179" s="39"/>
      <c r="E179" s="38"/>
      <c r="F179" s="39"/>
      <c r="G179" s="39"/>
      <c r="H179" s="38"/>
      <c r="I179" s="38"/>
      <c r="J179" s="38"/>
      <c r="K179" s="38"/>
    </row>
    <row r="180" spans="1:11" x14ac:dyDescent="0.2">
      <c r="A180" s="38"/>
      <c r="B180" s="38"/>
      <c r="C180" s="39"/>
      <c r="D180" s="39"/>
      <c r="E180" s="38"/>
      <c r="F180" s="39"/>
      <c r="G180" s="39"/>
      <c r="H180" s="38"/>
      <c r="I180" s="38"/>
      <c r="J180" s="38"/>
      <c r="K180" s="38"/>
    </row>
    <row r="181" spans="1:11" x14ac:dyDescent="0.2">
      <c r="A181" s="38"/>
      <c r="B181" s="38"/>
      <c r="C181" s="39"/>
      <c r="D181" s="39"/>
      <c r="E181" s="38"/>
      <c r="F181" s="39"/>
      <c r="G181" s="39"/>
      <c r="H181" s="38"/>
      <c r="I181" s="38"/>
      <c r="J181" s="38"/>
      <c r="K181" s="38"/>
    </row>
    <row r="182" spans="1:11" x14ac:dyDescent="0.2">
      <c r="A182" s="38"/>
      <c r="B182" s="38"/>
      <c r="C182" s="39"/>
      <c r="D182" s="39"/>
      <c r="E182" s="38"/>
      <c r="F182" s="39"/>
      <c r="G182" s="39"/>
      <c r="H182" s="38"/>
      <c r="I182" s="38"/>
      <c r="J182" s="38"/>
      <c r="K182" s="38"/>
    </row>
    <row r="183" spans="1:11" x14ac:dyDescent="0.2">
      <c r="A183" s="38"/>
      <c r="B183" s="38"/>
      <c r="C183" s="39"/>
      <c r="D183" s="39"/>
      <c r="E183" s="38"/>
      <c r="F183" s="39"/>
      <c r="G183" s="39"/>
      <c r="H183" s="38"/>
      <c r="I183" s="38"/>
      <c r="J183" s="38"/>
      <c r="K183" s="38"/>
    </row>
    <row r="184" spans="1:11" x14ac:dyDescent="0.2">
      <c r="A184" s="38"/>
      <c r="B184" s="38"/>
      <c r="C184" s="39"/>
      <c r="D184" s="39"/>
      <c r="E184" s="38"/>
      <c r="F184" s="39"/>
      <c r="G184" s="39"/>
      <c r="H184" s="38"/>
      <c r="I184" s="38"/>
      <c r="J184" s="38"/>
      <c r="K184" s="38"/>
    </row>
    <row r="185" spans="1:11" x14ac:dyDescent="0.2">
      <c r="A185" s="38"/>
      <c r="B185" s="38"/>
      <c r="C185" s="39"/>
      <c r="D185" s="39"/>
      <c r="E185" s="38"/>
      <c r="F185" s="39"/>
      <c r="G185" s="39"/>
      <c r="H185" s="38"/>
      <c r="I185" s="38"/>
      <c r="J185" s="38"/>
      <c r="K185" s="38"/>
    </row>
    <row r="186" spans="1:11" x14ac:dyDescent="0.2">
      <c r="A186" s="38"/>
      <c r="B186" s="38"/>
      <c r="C186" s="39"/>
      <c r="D186" s="39"/>
      <c r="E186" s="38"/>
      <c r="F186" s="39"/>
      <c r="G186" s="39"/>
      <c r="H186" s="38"/>
      <c r="I186" s="38"/>
      <c r="J186" s="38"/>
      <c r="K186" s="38"/>
    </row>
    <row r="187" spans="1:11" x14ac:dyDescent="0.2">
      <c r="A187" s="38"/>
      <c r="B187" s="38"/>
      <c r="C187" s="39"/>
      <c r="D187" s="39"/>
      <c r="E187" s="38"/>
      <c r="F187" s="39"/>
      <c r="G187" s="39"/>
      <c r="H187" s="38"/>
      <c r="I187" s="38"/>
      <c r="J187" s="38"/>
      <c r="K187" s="38"/>
    </row>
    <row r="188" spans="1:11" x14ac:dyDescent="0.2">
      <c r="A188" s="38"/>
      <c r="B188" s="38"/>
      <c r="C188" s="39"/>
      <c r="D188" s="39"/>
      <c r="E188" s="38"/>
      <c r="F188" s="39"/>
      <c r="G188" s="39"/>
      <c r="H188" s="38"/>
      <c r="I188" s="38"/>
      <c r="J188" s="38"/>
      <c r="K188" s="38"/>
    </row>
    <row r="189" spans="1:11" x14ac:dyDescent="0.2">
      <c r="A189" s="38"/>
      <c r="B189" s="38"/>
      <c r="C189" s="39"/>
      <c r="D189" s="39"/>
      <c r="E189" s="38"/>
      <c r="F189" s="39"/>
      <c r="G189" s="39"/>
      <c r="H189" s="38"/>
      <c r="I189" s="38"/>
      <c r="J189" s="38"/>
      <c r="K189" s="38"/>
    </row>
    <row r="190" spans="1:11" x14ac:dyDescent="0.2">
      <c r="A190" s="38"/>
      <c r="B190" s="38"/>
      <c r="C190" s="39"/>
      <c r="D190" s="39"/>
      <c r="E190" s="38"/>
      <c r="F190" s="39"/>
      <c r="G190" s="39"/>
      <c r="H190" s="38"/>
      <c r="I190" s="38"/>
      <c r="J190" s="38"/>
      <c r="K190" s="38"/>
    </row>
    <row r="191" spans="1:11" x14ac:dyDescent="0.2">
      <c r="A191" s="38"/>
      <c r="B191" s="38"/>
      <c r="C191" s="39"/>
      <c r="D191" s="39"/>
      <c r="E191" s="38"/>
      <c r="F191" s="39"/>
      <c r="G191" s="39"/>
      <c r="H191" s="38"/>
      <c r="I191" s="38"/>
      <c r="J191" s="38"/>
      <c r="K191" s="38"/>
    </row>
    <row r="192" spans="1:11" x14ac:dyDescent="0.2">
      <c r="A192" s="38"/>
      <c r="B192" s="38"/>
      <c r="C192" s="39"/>
      <c r="D192" s="39"/>
      <c r="E192" s="38"/>
      <c r="F192" s="39"/>
      <c r="G192" s="39"/>
      <c r="H192" s="38"/>
      <c r="I192" s="38"/>
      <c r="J192" s="38"/>
      <c r="K192" s="38"/>
    </row>
    <row r="193" spans="1:11" x14ac:dyDescent="0.2">
      <c r="A193" s="38"/>
      <c r="B193" s="38"/>
      <c r="C193" s="39"/>
      <c r="D193" s="39"/>
      <c r="E193" s="38"/>
      <c r="F193" s="39"/>
      <c r="G193" s="39"/>
      <c r="H193" s="38"/>
      <c r="I193" s="38"/>
      <c r="J193" s="38"/>
      <c r="K193" s="38"/>
    </row>
    <row r="194" spans="1:11" x14ac:dyDescent="0.2">
      <c r="A194" s="38"/>
      <c r="B194" s="38"/>
      <c r="C194" s="39"/>
      <c r="D194" s="39"/>
      <c r="E194" s="38"/>
      <c r="F194" s="39"/>
      <c r="G194" s="39"/>
      <c r="H194" s="38"/>
      <c r="I194" s="38"/>
      <c r="J194" s="38"/>
      <c r="K194" s="38"/>
    </row>
    <row r="195" spans="1:11" x14ac:dyDescent="0.2">
      <c r="A195" s="38"/>
      <c r="B195" s="38"/>
      <c r="C195" s="39"/>
      <c r="D195" s="39"/>
      <c r="E195" s="38"/>
      <c r="F195" s="39"/>
      <c r="G195" s="39"/>
      <c r="H195" s="38"/>
      <c r="I195" s="38"/>
      <c r="J195" s="38"/>
      <c r="K195" s="38"/>
    </row>
    <row r="196" spans="1:11" x14ac:dyDescent="0.2">
      <c r="A196" s="38"/>
      <c r="B196" s="38"/>
      <c r="C196" s="39"/>
      <c r="D196" s="39"/>
      <c r="E196" s="38"/>
      <c r="F196" s="39"/>
      <c r="G196" s="39"/>
      <c r="H196" s="38"/>
      <c r="I196" s="38"/>
      <c r="J196" s="38"/>
      <c r="K196" s="38"/>
    </row>
    <row r="197" spans="1:11" x14ac:dyDescent="0.2">
      <c r="A197" s="38"/>
      <c r="B197" s="38"/>
      <c r="C197" s="39"/>
      <c r="D197" s="39"/>
      <c r="E197" s="38"/>
      <c r="F197" s="39"/>
      <c r="G197" s="39"/>
      <c r="H197" s="38"/>
      <c r="I197" s="38"/>
      <c r="J197" s="38"/>
      <c r="K197" s="38"/>
    </row>
    <row r="198" spans="1:11" x14ac:dyDescent="0.2">
      <c r="A198" s="38"/>
      <c r="B198" s="38"/>
      <c r="C198" s="39"/>
      <c r="D198" s="39"/>
      <c r="E198" s="38"/>
      <c r="F198" s="39"/>
      <c r="G198" s="39"/>
      <c r="H198" s="38"/>
      <c r="I198" s="38"/>
      <c r="J198" s="38"/>
      <c r="K198" s="38"/>
    </row>
    <row r="199" spans="1:11" x14ac:dyDescent="0.2">
      <c r="A199" s="38"/>
      <c r="B199" s="38"/>
      <c r="C199" s="39"/>
      <c r="D199" s="39"/>
      <c r="E199" s="38"/>
      <c r="F199" s="39"/>
      <c r="G199" s="39"/>
      <c r="H199" s="38"/>
      <c r="I199" s="38"/>
      <c r="J199" s="38"/>
      <c r="K199" s="38"/>
    </row>
    <row r="200" spans="1:11" x14ac:dyDescent="0.2">
      <c r="A200" s="38"/>
      <c r="B200" s="38"/>
      <c r="C200" s="39"/>
      <c r="D200" s="39"/>
      <c r="E200" s="38"/>
      <c r="F200" s="39"/>
      <c r="G200" s="39"/>
      <c r="H200" s="38"/>
      <c r="I200" s="38"/>
      <c r="J200" s="38"/>
      <c r="K200" s="38"/>
    </row>
    <row r="201" spans="1:11" x14ac:dyDescent="0.2">
      <c r="A201" s="38"/>
      <c r="B201" s="38"/>
      <c r="C201" s="39"/>
      <c r="D201" s="39"/>
      <c r="E201" s="38"/>
      <c r="F201" s="39"/>
      <c r="G201" s="39"/>
      <c r="H201" s="38"/>
      <c r="I201" s="38"/>
      <c r="J201" s="38"/>
      <c r="K201" s="38"/>
    </row>
    <row r="202" spans="1:11" x14ac:dyDescent="0.2">
      <c r="A202" s="38"/>
      <c r="B202" s="38"/>
      <c r="C202" s="39"/>
      <c r="D202" s="39"/>
      <c r="E202" s="38"/>
      <c r="F202" s="39"/>
      <c r="G202" s="39"/>
      <c r="H202" s="38"/>
      <c r="I202" s="38"/>
      <c r="J202" s="38"/>
      <c r="K202" s="38"/>
    </row>
    <row r="203" spans="1:11" x14ac:dyDescent="0.2">
      <c r="A203" s="38"/>
      <c r="B203" s="38"/>
      <c r="C203" s="39"/>
      <c r="D203" s="39"/>
      <c r="E203" s="38"/>
      <c r="F203" s="39"/>
      <c r="G203" s="39"/>
      <c r="H203" s="38"/>
      <c r="I203" s="38"/>
      <c r="J203" s="38"/>
      <c r="K203" s="38"/>
    </row>
    <row r="204" spans="1:11" x14ac:dyDescent="0.2">
      <c r="A204" s="38"/>
      <c r="B204" s="38"/>
      <c r="C204" s="39"/>
      <c r="D204" s="39"/>
      <c r="E204" s="38"/>
      <c r="F204" s="39"/>
      <c r="G204" s="39"/>
      <c r="H204" s="38"/>
      <c r="I204" s="38"/>
      <c r="J204" s="38"/>
      <c r="K204" s="38"/>
    </row>
    <row r="205" spans="1:11" x14ac:dyDescent="0.2">
      <c r="A205" s="38"/>
      <c r="B205" s="38"/>
      <c r="C205" s="39"/>
      <c r="D205" s="39"/>
      <c r="E205" s="38"/>
      <c r="F205" s="39"/>
      <c r="G205" s="39"/>
      <c r="H205" s="38"/>
      <c r="I205" s="38"/>
      <c r="J205" s="38"/>
      <c r="K205" s="38"/>
    </row>
    <row r="206" spans="1:11" x14ac:dyDescent="0.2">
      <c r="A206" s="38"/>
      <c r="B206" s="38"/>
      <c r="C206" s="39"/>
      <c r="D206" s="39"/>
      <c r="E206" s="38"/>
      <c r="F206" s="39"/>
      <c r="G206" s="39"/>
      <c r="H206" s="38"/>
      <c r="I206" s="38"/>
      <c r="J206" s="38"/>
      <c r="K206" s="38"/>
    </row>
    <row r="207" spans="1:11" x14ac:dyDescent="0.2">
      <c r="A207" s="38"/>
      <c r="B207" s="38"/>
      <c r="C207" s="39"/>
      <c r="D207" s="39"/>
      <c r="E207" s="38"/>
      <c r="F207" s="39"/>
      <c r="G207" s="39"/>
      <c r="H207" s="38"/>
      <c r="I207" s="38"/>
      <c r="J207" s="38"/>
      <c r="K207" s="38"/>
    </row>
    <row r="208" spans="1:11" x14ac:dyDescent="0.2">
      <c r="A208" s="38"/>
      <c r="B208" s="38"/>
      <c r="C208" s="39"/>
      <c r="D208" s="39"/>
      <c r="E208" s="38"/>
      <c r="F208" s="39"/>
      <c r="G208" s="39"/>
      <c r="H208" s="38"/>
      <c r="I208" s="38"/>
      <c r="J208" s="38"/>
      <c r="K208" s="38"/>
    </row>
    <row r="209" spans="1:11" x14ac:dyDescent="0.2">
      <c r="A209" s="38"/>
      <c r="B209" s="38"/>
      <c r="C209" s="39"/>
      <c r="D209" s="39"/>
      <c r="E209" s="38"/>
      <c r="F209" s="39"/>
      <c r="G209" s="39"/>
      <c r="H209" s="38"/>
      <c r="I209" s="38"/>
      <c r="J209" s="38"/>
      <c r="K209" s="38"/>
    </row>
    <row r="210" spans="1:11" x14ac:dyDescent="0.2">
      <c r="A210" s="38"/>
      <c r="B210" s="38"/>
      <c r="C210" s="39"/>
      <c r="D210" s="39"/>
      <c r="E210" s="38"/>
      <c r="F210" s="39"/>
      <c r="G210" s="39"/>
      <c r="H210" s="38"/>
      <c r="I210" s="38"/>
      <c r="J210" s="38"/>
      <c r="K210" s="38"/>
    </row>
    <row r="211" spans="1:11" x14ac:dyDescent="0.2">
      <c r="A211" s="38"/>
      <c r="B211" s="38"/>
      <c r="C211" s="39"/>
      <c r="D211" s="39"/>
      <c r="E211" s="38"/>
      <c r="F211" s="39"/>
      <c r="G211" s="39"/>
      <c r="H211" s="38"/>
      <c r="I211" s="38"/>
      <c r="J211" s="38"/>
      <c r="K211" s="38"/>
    </row>
    <row r="212" spans="1:11" x14ac:dyDescent="0.2">
      <c r="A212" s="38"/>
      <c r="B212" s="38"/>
      <c r="C212" s="39"/>
      <c r="D212" s="39"/>
      <c r="E212" s="38"/>
      <c r="F212" s="39"/>
      <c r="G212" s="39"/>
      <c r="H212" s="38"/>
      <c r="I212" s="38"/>
      <c r="J212" s="38"/>
      <c r="K212" s="38"/>
    </row>
    <row r="213" spans="1:11" x14ac:dyDescent="0.2">
      <c r="A213" s="38"/>
      <c r="B213" s="38"/>
      <c r="C213" s="39"/>
      <c r="D213" s="39"/>
      <c r="E213" s="38"/>
      <c r="F213" s="39"/>
      <c r="G213" s="39"/>
      <c r="H213" s="38"/>
      <c r="I213" s="38"/>
      <c r="J213" s="38"/>
      <c r="K213" s="38"/>
    </row>
    <row r="214" spans="1:11" x14ac:dyDescent="0.2">
      <c r="A214" s="38"/>
      <c r="B214" s="38"/>
      <c r="C214" s="39"/>
      <c r="D214" s="39"/>
      <c r="E214" s="38"/>
      <c r="F214" s="39"/>
      <c r="G214" s="39"/>
      <c r="H214" s="38"/>
      <c r="I214" s="38"/>
      <c r="J214" s="38"/>
      <c r="K214" s="38"/>
    </row>
    <row r="215" spans="1:11" x14ac:dyDescent="0.2">
      <c r="A215" s="38"/>
      <c r="B215" s="38"/>
      <c r="C215" s="39"/>
      <c r="D215" s="39"/>
      <c r="E215" s="38"/>
      <c r="F215" s="39"/>
      <c r="G215" s="39"/>
      <c r="H215" s="38"/>
      <c r="I215" s="38"/>
      <c r="J215" s="38"/>
      <c r="K215" s="38"/>
    </row>
    <row r="216" spans="1:11" x14ac:dyDescent="0.2">
      <c r="A216" s="38"/>
      <c r="B216" s="38"/>
      <c r="C216" s="39"/>
      <c r="D216" s="39"/>
      <c r="E216" s="38"/>
      <c r="F216" s="39"/>
      <c r="G216" s="39"/>
      <c r="H216" s="38"/>
      <c r="I216" s="38"/>
      <c r="J216" s="38"/>
      <c r="K216" s="38"/>
    </row>
    <row r="217" spans="1:11" x14ac:dyDescent="0.2">
      <c r="A217" s="38"/>
      <c r="B217" s="38"/>
      <c r="C217" s="39"/>
      <c r="D217" s="39"/>
      <c r="E217" s="38"/>
      <c r="F217" s="39"/>
      <c r="G217" s="39"/>
      <c r="H217" s="38"/>
      <c r="I217" s="38"/>
      <c r="J217" s="38"/>
      <c r="K217" s="38"/>
    </row>
    <row r="218" spans="1:11" x14ac:dyDescent="0.2">
      <c r="A218" s="38"/>
      <c r="B218" s="38"/>
      <c r="C218" s="39"/>
      <c r="D218" s="39"/>
      <c r="E218" s="38"/>
      <c r="F218" s="39"/>
      <c r="G218" s="39"/>
      <c r="H218" s="38"/>
      <c r="I218" s="38"/>
      <c r="J218" s="38"/>
      <c r="K218" s="38"/>
    </row>
    <row r="219" spans="1:11" x14ac:dyDescent="0.2">
      <c r="A219" s="38"/>
      <c r="B219" s="38"/>
      <c r="C219" s="39"/>
      <c r="D219" s="39"/>
      <c r="E219" s="38"/>
      <c r="F219" s="39"/>
      <c r="G219" s="39"/>
      <c r="H219" s="38"/>
      <c r="I219" s="38"/>
      <c r="J219" s="38"/>
      <c r="K219" s="38"/>
    </row>
    <row r="220" spans="1:11" x14ac:dyDescent="0.2">
      <c r="A220" s="38"/>
      <c r="B220" s="38"/>
      <c r="C220" s="39"/>
      <c r="D220" s="39"/>
      <c r="E220" s="38"/>
      <c r="F220" s="39"/>
      <c r="G220" s="39"/>
      <c r="H220" s="38"/>
      <c r="I220" s="38"/>
      <c r="J220" s="38"/>
      <c r="K220" s="38"/>
    </row>
    <row r="221" spans="1:11" x14ac:dyDescent="0.2">
      <c r="A221" s="38"/>
      <c r="B221" s="38"/>
      <c r="C221" s="39"/>
      <c r="D221" s="39"/>
      <c r="E221" s="38"/>
      <c r="F221" s="39"/>
      <c r="G221" s="39"/>
      <c r="H221" s="38"/>
      <c r="I221" s="38"/>
      <c r="J221" s="38"/>
      <c r="K221" s="38"/>
    </row>
    <row r="222" spans="1:11" x14ac:dyDescent="0.2">
      <c r="A222" s="38"/>
      <c r="B222" s="38"/>
      <c r="C222" s="39"/>
      <c r="D222" s="39"/>
      <c r="E222" s="38"/>
      <c r="F222" s="39"/>
      <c r="G222" s="39"/>
      <c r="H222" s="38"/>
      <c r="I222" s="38"/>
      <c r="J222" s="38"/>
      <c r="K222" s="38"/>
    </row>
    <row r="223" spans="1:11" x14ac:dyDescent="0.2">
      <c r="A223" s="38"/>
      <c r="B223" s="38"/>
      <c r="C223" s="39"/>
      <c r="D223" s="39"/>
      <c r="E223" s="38"/>
      <c r="F223" s="39"/>
      <c r="G223" s="39"/>
      <c r="H223" s="38"/>
      <c r="I223" s="38"/>
      <c r="J223" s="38"/>
      <c r="K223" s="38"/>
    </row>
    <row r="224" spans="1:11" x14ac:dyDescent="0.2">
      <c r="A224" s="38"/>
      <c r="B224" s="38"/>
      <c r="C224" s="39"/>
      <c r="D224" s="39"/>
      <c r="E224" s="38"/>
      <c r="F224" s="39"/>
      <c r="G224" s="39"/>
      <c r="H224" s="38"/>
      <c r="I224" s="38"/>
      <c r="J224" s="38"/>
      <c r="K224" s="38"/>
    </row>
    <row r="225" spans="1:11" x14ac:dyDescent="0.2">
      <c r="A225" s="38"/>
      <c r="B225" s="38"/>
      <c r="C225" s="39"/>
      <c r="D225" s="39"/>
      <c r="E225" s="38"/>
      <c r="F225" s="39"/>
      <c r="G225" s="39"/>
      <c r="H225" s="38"/>
      <c r="I225" s="38"/>
      <c r="J225" s="38"/>
      <c r="K225" s="38"/>
    </row>
    <row r="226" spans="1:11" x14ac:dyDescent="0.2">
      <c r="A226" s="38"/>
      <c r="B226" s="38"/>
      <c r="C226" s="39"/>
      <c r="D226" s="39"/>
      <c r="E226" s="38"/>
      <c r="F226" s="39"/>
      <c r="G226" s="39"/>
      <c r="H226" s="38"/>
      <c r="I226" s="38"/>
      <c r="J226" s="38"/>
      <c r="K226" s="38"/>
    </row>
    <row r="227" spans="1:11" x14ac:dyDescent="0.2">
      <c r="A227" s="38"/>
      <c r="B227" s="38"/>
      <c r="C227" s="39"/>
      <c r="D227" s="39"/>
      <c r="E227" s="38"/>
      <c r="F227" s="39"/>
      <c r="G227" s="39"/>
      <c r="H227" s="38"/>
      <c r="I227" s="38"/>
      <c r="J227" s="38"/>
      <c r="K227" s="38"/>
    </row>
    <row r="228" spans="1:11" x14ac:dyDescent="0.2">
      <c r="A228" s="38"/>
      <c r="B228" s="38"/>
      <c r="C228" s="39"/>
      <c r="D228" s="39"/>
      <c r="E228" s="38"/>
      <c r="F228" s="39"/>
      <c r="G228" s="39"/>
      <c r="H228" s="38"/>
      <c r="I228" s="38"/>
      <c r="J228" s="38"/>
      <c r="K228" s="38"/>
    </row>
    <row r="229" spans="1:11" x14ac:dyDescent="0.2">
      <c r="A229" s="38"/>
      <c r="B229" s="38"/>
      <c r="C229" s="39"/>
      <c r="D229" s="39"/>
      <c r="E229" s="38"/>
      <c r="F229" s="39"/>
      <c r="G229" s="39"/>
      <c r="H229" s="38"/>
      <c r="I229" s="38"/>
      <c r="J229" s="38"/>
      <c r="K229" s="38"/>
    </row>
    <row r="230" spans="1:11" x14ac:dyDescent="0.2">
      <c r="A230" s="38"/>
      <c r="B230" s="38"/>
      <c r="C230" s="39"/>
      <c r="D230" s="39"/>
      <c r="E230" s="38"/>
      <c r="F230" s="39"/>
      <c r="G230" s="39"/>
      <c r="H230" s="38"/>
      <c r="I230" s="38"/>
      <c r="J230" s="38"/>
      <c r="K230" s="38"/>
    </row>
    <row r="231" spans="1:11" x14ac:dyDescent="0.2">
      <c r="A231" s="38"/>
      <c r="B231" s="38"/>
      <c r="C231" s="39"/>
      <c r="D231" s="39"/>
      <c r="E231" s="38"/>
      <c r="F231" s="39"/>
      <c r="G231" s="39"/>
      <c r="H231" s="38"/>
      <c r="I231" s="38"/>
      <c r="J231" s="38"/>
      <c r="K231" s="38"/>
    </row>
    <row r="232" spans="1:11" x14ac:dyDescent="0.2">
      <c r="A232" s="38"/>
      <c r="B232" s="38"/>
      <c r="C232" s="39"/>
      <c r="D232" s="39"/>
      <c r="E232" s="38"/>
      <c r="F232" s="39"/>
      <c r="G232" s="39"/>
      <c r="H232" s="38"/>
      <c r="I232" s="38"/>
      <c r="J232" s="38"/>
      <c r="K232" s="38"/>
    </row>
    <row r="233" spans="1:11" x14ac:dyDescent="0.2">
      <c r="A233" s="38"/>
      <c r="B233" s="38"/>
      <c r="C233" s="39"/>
      <c r="D233" s="39"/>
      <c r="E233" s="38"/>
      <c r="F233" s="39"/>
      <c r="G233" s="39"/>
      <c r="H233" s="38"/>
      <c r="I233" s="38"/>
      <c r="J233" s="38"/>
      <c r="K233" s="38"/>
    </row>
    <row r="234" spans="1:11" x14ac:dyDescent="0.2">
      <c r="A234" s="38"/>
      <c r="B234" s="38"/>
      <c r="C234" s="39"/>
      <c r="D234" s="39"/>
      <c r="E234" s="38"/>
      <c r="F234" s="39"/>
      <c r="G234" s="39"/>
      <c r="H234" s="38"/>
      <c r="I234" s="38"/>
      <c r="J234" s="38"/>
      <c r="K234" s="38"/>
    </row>
    <row r="235" spans="1:11" x14ac:dyDescent="0.2">
      <c r="A235" s="38"/>
      <c r="B235" s="38"/>
      <c r="C235" s="39"/>
      <c r="D235" s="39"/>
      <c r="E235" s="38"/>
      <c r="F235" s="39"/>
      <c r="G235" s="39"/>
      <c r="H235" s="38"/>
      <c r="I235" s="38"/>
      <c r="J235" s="38"/>
      <c r="K235" s="38"/>
    </row>
    <row r="236" spans="1:11" x14ac:dyDescent="0.2">
      <c r="A236" s="38"/>
      <c r="B236" s="38"/>
      <c r="C236" s="39"/>
      <c r="D236" s="39"/>
      <c r="E236" s="38"/>
      <c r="F236" s="39"/>
      <c r="G236" s="39"/>
      <c r="H236" s="38"/>
      <c r="I236" s="38"/>
      <c r="J236" s="38"/>
      <c r="K236" s="38"/>
    </row>
    <row r="237" spans="1:11" x14ac:dyDescent="0.2">
      <c r="A237" s="38"/>
      <c r="B237" s="38"/>
      <c r="C237" s="39"/>
      <c r="D237" s="39"/>
      <c r="E237" s="38"/>
      <c r="F237" s="39"/>
      <c r="G237" s="39"/>
      <c r="H237" s="38"/>
      <c r="I237" s="38"/>
      <c r="J237" s="38"/>
      <c r="K237" s="38"/>
    </row>
    <row r="238" spans="1:11" x14ac:dyDescent="0.2">
      <c r="A238" s="38"/>
      <c r="B238" s="38"/>
      <c r="C238" s="39"/>
      <c r="D238" s="39"/>
      <c r="E238" s="38"/>
      <c r="F238" s="39"/>
      <c r="G238" s="39"/>
      <c r="H238" s="38"/>
      <c r="I238" s="38"/>
      <c r="J238" s="38"/>
      <c r="K238" s="38"/>
    </row>
    <row r="239" spans="1:11" x14ac:dyDescent="0.2">
      <c r="A239" s="38"/>
      <c r="B239" s="38"/>
      <c r="C239" s="39"/>
      <c r="D239" s="39"/>
      <c r="E239" s="38"/>
      <c r="F239" s="39"/>
      <c r="G239" s="39"/>
      <c r="H239" s="38"/>
      <c r="I239" s="38"/>
      <c r="J239" s="38"/>
      <c r="K239" s="38"/>
    </row>
    <row r="240" spans="1:11" x14ac:dyDescent="0.2">
      <c r="A240" s="38"/>
      <c r="B240" s="38"/>
      <c r="C240" s="39"/>
      <c r="D240" s="39"/>
      <c r="E240" s="38"/>
      <c r="F240" s="39"/>
      <c r="G240" s="39"/>
      <c r="H240" s="38"/>
      <c r="I240" s="38"/>
      <c r="J240" s="38"/>
      <c r="K240" s="38"/>
    </row>
    <row r="241" spans="1:11" x14ac:dyDescent="0.2">
      <c r="A241" s="38"/>
      <c r="B241" s="38"/>
      <c r="C241" s="39"/>
      <c r="D241" s="39"/>
      <c r="E241" s="38"/>
      <c r="F241" s="39"/>
      <c r="G241" s="39"/>
      <c r="H241" s="38"/>
      <c r="I241" s="38"/>
      <c r="J241" s="38"/>
      <c r="K241" s="38"/>
    </row>
    <row r="242" spans="1:11" x14ac:dyDescent="0.2">
      <c r="A242" s="38"/>
      <c r="B242" s="38"/>
      <c r="C242" s="39"/>
      <c r="D242" s="39"/>
      <c r="E242" s="38"/>
      <c r="F242" s="39"/>
      <c r="G242" s="39"/>
      <c r="H242" s="38"/>
      <c r="I242" s="38"/>
      <c r="J242" s="38"/>
      <c r="K242" s="38"/>
    </row>
    <row r="243" spans="1:11" x14ac:dyDescent="0.2">
      <c r="A243" s="38"/>
      <c r="B243" s="38"/>
      <c r="C243" s="39"/>
      <c r="D243" s="39"/>
      <c r="E243" s="38"/>
      <c r="F243" s="39"/>
      <c r="G243" s="39"/>
      <c r="H243" s="38"/>
      <c r="I243" s="38"/>
      <c r="J243" s="38"/>
      <c r="K243" s="38"/>
    </row>
    <row r="244" spans="1:11" x14ac:dyDescent="0.2">
      <c r="A244" s="38"/>
      <c r="B244" s="38"/>
      <c r="C244" s="39"/>
      <c r="D244" s="39"/>
      <c r="E244" s="38"/>
      <c r="F244" s="39"/>
      <c r="G244" s="39"/>
      <c r="H244" s="38"/>
      <c r="I244" s="38"/>
      <c r="J244" s="38"/>
      <c r="K244" s="38"/>
    </row>
    <row r="245" spans="1:11" x14ac:dyDescent="0.2">
      <c r="A245" s="38"/>
      <c r="B245" s="38"/>
      <c r="C245" s="39"/>
      <c r="D245" s="39"/>
      <c r="E245" s="38"/>
      <c r="F245" s="39"/>
      <c r="G245" s="39"/>
      <c r="H245" s="38"/>
      <c r="I245" s="38"/>
      <c r="J245" s="38"/>
      <c r="K245" s="38"/>
    </row>
    <row r="246" spans="1:11" x14ac:dyDescent="0.2">
      <c r="A246" s="38"/>
      <c r="B246" s="38"/>
      <c r="C246" s="39"/>
      <c r="D246" s="39"/>
      <c r="E246" s="38"/>
      <c r="F246" s="39"/>
      <c r="G246" s="39"/>
      <c r="H246" s="38"/>
      <c r="I246" s="38"/>
      <c r="J246" s="38"/>
      <c r="K246" s="38"/>
    </row>
    <row r="247" spans="1:11" x14ac:dyDescent="0.2">
      <c r="A247" s="38"/>
      <c r="B247" s="38"/>
      <c r="C247" s="39"/>
      <c r="D247" s="39"/>
      <c r="E247" s="38"/>
      <c r="F247" s="39"/>
      <c r="G247" s="39"/>
      <c r="H247" s="38"/>
      <c r="I247" s="38"/>
      <c r="J247" s="38"/>
      <c r="K247" s="38"/>
    </row>
    <row r="248" spans="1:11" x14ac:dyDescent="0.2">
      <c r="A248" s="38"/>
      <c r="B248" s="38"/>
      <c r="C248" s="39"/>
      <c r="D248" s="39"/>
      <c r="E248" s="38"/>
      <c r="F248" s="39"/>
      <c r="G248" s="39"/>
      <c r="H248" s="38"/>
      <c r="I248" s="38"/>
      <c r="J248" s="38"/>
      <c r="K248" s="38"/>
    </row>
    <row r="249" spans="1:11" x14ac:dyDescent="0.2">
      <c r="A249" s="38"/>
      <c r="B249" s="38"/>
      <c r="C249" s="39"/>
      <c r="D249" s="39"/>
      <c r="E249" s="38"/>
      <c r="F249" s="39"/>
      <c r="G249" s="39"/>
      <c r="H249" s="38"/>
      <c r="I249" s="38"/>
      <c r="J249" s="38"/>
      <c r="K249" s="38"/>
    </row>
    <row r="250" spans="1:11" x14ac:dyDescent="0.2">
      <c r="A250" s="38"/>
      <c r="B250" s="38"/>
      <c r="C250" s="39"/>
      <c r="D250" s="39"/>
      <c r="E250" s="38"/>
      <c r="F250" s="39"/>
      <c r="G250" s="39"/>
      <c r="H250" s="38"/>
      <c r="I250" s="38"/>
      <c r="J250" s="38"/>
      <c r="K250" s="38"/>
    </row>
    <row r="251" spans="1:11" x14ac:dyDescent="0.2">
      <c r="A251" s="38"/>
      <c r="B251" s="38"/>
      <c r="C251" s="39"/>
      <c r="D251" s="39"/>
      <c r="E251" s="38"/>
      <c r="F251" s="39"/>
      <c r="G251" s="39"/>
      <c r="H251" s="38"/>
      <c r="I251" s="38"/>
      <c r="J251" s="38"/>
      <c r="K251" s="38"/>
    </row>
    <row r="252" spans="1:11" x14ac:dyDescent="0.2">
      <c r="A252" s="38"/>
      <c r="B252" s="38"/>
      <c r="C252" s="39"/>
      <c r="D252" s="39"/>
      <c r="E252" s="38"/>
      <c r="F252" s="39"/>
      <c r="G252" s="39"/>
      <c r="H252" s="38"/>
      <c r="I252" s="38"/>
      <c r="J252" s="38"/>
      <c r="K252" s="38"/>
    </row>
    <row r="253" spans="1:11" x14ac:dyDescent="0.2">
      <c r="A253" s="38"/>
      <c r="B253" s="38"/>
      <c r="C253" s="39"/>
      <c r="D253" s="39"/>
      <c r="E253" s="38"/>
      <c r="F253" s="39"/>
      <c r="G253" s="39"/>
      <c r="H253" s="38"/>
      <c r="I253" s="38"/>
      <c r="J253" s="38"/>
      <c r="K253" s="38"/>
    </row>
    <row r="254" spans="1:11" x14ac:dyDescent="0.2">
      <c r="A254" s="38"/>
      <c r="B254" s="38"/>
      <c r="C254" s="39"/>
      <c r="D254" s="39"/>
      <c r="E254" s="38"/>
      <c r="F254" s="39"/>
      <c r="G254" s="39"/>
      <c r="H254" s="38"/>
      <c r="I254" s="38"/>
      <c r="J254" s="38"/>
      <c r="K254" s="38"/>
    </row>
    <row r="255" spans="1:11" x14ac:dyDescent="0.2">
      <c r="A255" s="38"/>
      <c r="B255" s="38"/>
      <c r="C255" s="39"/>
      <c r="D255" s="39"/>
      <c r="E255" s="38"/>
      <c r="F255" s="39"/>
      <c r="G255" s="39"/>
      <c r="H255" s="38"/>
      <c r="I255" s="38"/>
      <c r="J255" s="38"/>
      <c r="K255" s="38"/>
    </row>
    <row r="256" spans="1:11" x14ac:dyDescent="0.2">
      <c r="A256" s="38"/>
      <c r="B256" s="38"/>
      <c r="C256" s="39"/>
      <c r="D256" s="39"/>
      <c r="E256" s="38"/>
      <c r="F256" s="39"/>
      <c r="G256" s="39"/>
      <c r="H256" s="38"/>
      <c r="I256" s="38"/>
      <c r="J256" s="38"/>
      <c r="K256" s="38"/>
    </row>
    <row r="257" spans="1:11" x14ac:dyDescent="0.2">
      <c r="A257" s="38"/>
      <c r="B257" s="38"/>
      <c r="C257" s="39"/>
      <c r="D257" s="39"/>
      <c r="E257" s="38"/>
      <c r="F257" s="39"/>
      <c r="G257" s="39"/>
      <c r="H257" s="38"/>
      <c r="I257" s="38"/>
      <c r="J257" s="38"/>
      <c r="K257" s="38"/>
    </row>
    <row r="258" spans="1:11" x14ac:dyDescent="0.2">
      <c r="A258" s="38"/>
      <c r="B258" s="38"/>
      <c r="C258" s="39"/>
      <c r="D258" s="39"/>
      <c r="E258" s="38"/>
      <c r="F258" s="39"/>
      <c r="G258" s="39"/>
      <c r="H258" s="38"/>
      <c r="I258" s="38"/>
      <c r="J258" s="38"/>
      <c r="K258" s="38"/>
    </row>
    <row r="259" spans="1:11" x14ac:dyDescent="0.2">
      <c r="A259" s="38"/>
      <c r="B259" s="38"/>
      <c r="C259" s="39"/>
      <c r="D259" s="39"/>
      <c r="E259" s="38"/>
      <c r="F259" s="39"/>
      <c r="G259" s="39"/>
      <c r="H259" s="38"/>
      <c r="I259" s="38"/>
      <c r="J259" s="38"/>
      <c r="K259" s="38"/>
    </row>
    <row r="260" spans="1:11" x14ac:dyDescent="0.2">
      <c r="A260" s="38"/>
      <c r="B260" s="38"/>
      <c r="C260" s="39"/>
      <c r="D260" s="39"/>
      <c r="E260" s="38"/>
      <c r="F260" s="39"/>
      <c r="G260" s="39"/>
      <c r="H260" s="38"/>
      <c r="I260" s="38"/>
      <c r="J260" s="38"/>
      <c r="K260" s="38"/>
    </row>
    <row r="261" spans="1:11" x14ac:dyDescent="0.2">
      <c r="A261" s="38"/>
      <c r="B261" s="38"/>
      <c r="C261" s="39"/>
      <c r="D261" s="39"/>
      <c r="E261" s="38"/>
      <c r="F261" s="39"/>
      <c r="G261" s="39"/>
      <c r="H261" s="38"/>
      <c r="I261" s="38"/>
      <c r="J261" s="38"/>
      <c r="K261" s="38"/>
    </row>
    <row r="262" spans="1:11" x14ac:dyDescent="0.2">
      <c r="A262" s="38"/>
      <c r="B262" s="38"/>
      <c r="C262" s="39"/>
      <c r="D262" s="39"/>
      <c r="E262" s="38"/>
      <c r="F262" s="39"/>
      <c r="G262" s="39"/>
      <c r="H262" s="38"/>
      <c r="I262" s="38"/>
      <c r="J262" s="38"/>
      <c r="K262" s="38"/>
    </row>
    <row r="263" spans="1:11" x14ac:dyDescent="0.2">
      <c r="A263" s="38"/>
      <c r="B263" s="38"/>
      <c r="C263" s="39"/>
      <c r="D263" s="39"/>
      <c r="E263" s="38"/>
      <c r="F263" s="39"/>
      <c r="G263" s="39"/>
      <c r="H263" s="38"/>
      <c r="I263" s="38"/>
      <c r="J263" s="38"/>
      <c r="K263" s="38"/>
    </row>
    <row r="264" spans="1:11" x14ac:dyDescent="0.2">
      <c r="A264" s="38"/>
      <c r="B264" s="38"/>
      <c r="C264" s="39"/>
      <c r="D264" s="39"/>
      <c r="E264" s="38"/>
      <c r="F264" s="39"/>
      <c r="G264" s="39"/>
      <c r="H264" s="38"/>
      <c r="I264" s="38"/>
      <c r="J264" s="38"/>
      <c r="K264" s="38"/>
    </row>
    <row r="265" spans="1:11" x14ac:dyDescent="0.2">
      <c r="A265" s="38"/>
      <c r="B265" s="38"/>
      <c r="C265" s="39"/>
      <c r="D265" s="39"/>
      <c r="E265" s="38"/>
      <c r="F265" s="39"/>
      <c r="G265" s="39"/>
      <c r="H265" s="38"/>
      <c r="I265" s="38"/>
      <c r="J265" s="38"/>
      <c r="K265" s="38"/>
    </row>
    <row r="266" spans="1:11" x14ac:dyDescent="0.2">
      <c r="A266" s="38"/>
      <c r="B266" s="38"/>
      <c r="C266" s="39"/>
      <c r="D266" s="39"/>
      <c r="E266" s="38"/>
      <c r="F266" s="39"/>
      <c r="G266" s="39"/>
      <c r="H266" s="38"/>
      <c r="I266" s="38"/>
      <c r="J266" s="38"/>
      <c r="K266" s="38"/>
    </row>
    <row r="267" spans="1:11" x14ac:dyDescent="0.2">
      <c r="A267" s="38"/>
      <c r="B267" s="38"/>
      <c r="C267" s="39"/>
      <c r="D267" s="39"/>
      <c r="E267" s="38"/>
      <c r="F267" s="39"/>
      <c r="G267" s="39"/>
      <c r="H267" s="38"/>
      <c r="I267" s="38"/>
      <c r="J267" s="38"/>
      <c r="K267" s="38"/>
    </row>
    <row r="268" spans="1:11" x14ac:dyDescent="0.2">
      <c r="A268" s="38"/>
      <c r="B268" s="38"/>
      <c r="C268" s="39"/>
      <c r="D268" s="39"/>
      <c r="E268" s="38"/>
      <c r="F268" s="39"/>
      <c r="G268" s="39"/>
      <c r="H268" s="38"/>
      <c r="I268" s="38"/>
      <c r="J268" s="38"/>
      <c r="K268" s="38"/>
    </row>
    <row r="269" spans="1:11" x14ac:dyDescent="0.2">
      <c r="A269" s="38"/>
      <c r="B269" s="38"/>
      <c r="C269" s="39"/>
      <c r="D269" s="39"/>
      <c r="E269" s="38"/>
      <c r="F269" s="39"/>
      <c r="G269" s="39"/>
      <c r="H269" s="38"/>
      <c r="I269" s="38"/>
      <c r="J269" s="38"/>
      <c r="K269" s="38"/>
    </row>
    <row r="270" spans="1:11" x14ac:dyDescent="0.2">
      <c r="A270" s="38"/>
      <c r="B270" s="38"/>
      <c r="C270" s="39"/>
      <c r="D270" s="39"/>
      <c r="E270" s="38"/>
      <c r="F270" s="39"/>
      <c r="G270" s="39"/>
      <c r="H270" s="38"/>
      <c r="I270" s="38"/>
      <c r="J270" s="38"/>
      <c r="K270" s="38"/>
    </row>
    <row r="271" spans="1:11" x14ac:dyDescent="0.2">
      <c r="A271" s="38"/>
      <c r="B271" s="38"/>
      <c r="C271" s="39"/>
      <c r="D271" s="39"/>
      <c r="E271" s="38"/>
      <c r="F271" s="39"/>
      <c r="G271" s="39"/>
      <c r="H271" s="38"/>
      <c r="I271" s="38"/>
      <c r="J271" s="38"/>
      <c r="K271" s="38"/>
    </row>
    <row r="272" spans="1:11" x14ac:dyDescent="0.2">
      <c r="A272" s="38"/>
      <c r="B272" s="38"/>
      <c r="C272" s="39"/>
      <c r="D272" s="39"/>
      <c r="E272" s="38"/>
      <c r="F272" s="39"/>
      <c r="G272" s="39"/>
      <c r="H272" s="38"/>
      <c r="I272" s="38"/>
      <c r="J272" s="38"/>
      <c r="K272" s="38"/>
    </row>
    <row r="273" spans="1:11" x14ac:dyDescent="0.2">
      <c r="A273" s="38"/>
      <c r="B273" s="38"/>
      <c r="C273" s="39"/>
      <c r="D273" s="39"/>
      <c r="E273" s="38"/>
      <c r="F273" s="39"/>
      <c r="G273" s="39"/>
      <c r="H273" s="38"/>
      <c r="I273" s="38"/>
      <c r="J273" s="38"/>
      <c r="K273" s="38"/>
    </row>
    <row r="274" spans="1:11" x14ac:dyDescent="0.2">
      <c r="A274" s="38"/>
      <c r="B274" s="38"/>
      <c r="C274" s="39"/>
      <c r="D274" s="39"/>
      <c r="E274" s="38"/>
      <c r="F274" s="39"/>
      <c r="G274" s="39"/>
      <c r="H274" s="38"/>
      <c r="I274" s="38"/>
      <c r="J274" s="38"/>
      <c r="K274" s="38"/>
    </row>
    <row r="275" spans="1:11" x14ac:dyDescent="0.2">
      <c r="A275" s="38"/>
      <c r="B275" s="38"/>
      <c r="C275" s="39"/>
      <c r="D275" s="39"/>
      <c r="E275" s="38"/>
      <c r="F275" s="39"/>
      <c r="G275" s="39"/>
      <c r="H275" s="38"/>
      <c r="I275" s="38"/>
      <c r="J275" s="38"/>
      <c r="K275" s="38"/>
    </row>
    <row r="276" spans="1:11" x14ac:dyDescent="0.2">
      <c r="A276" s="38"/>
      <c r="B276" s="38"/>
      <c r="C276" s="39"/>
      <c r="D276" s="39"/>
      <c r="E276" s="38"/>
      <c r="F276" s="39"/>
      <c r="G276" s="39"/>
      <c r="H276" s="38"/>
      <c r="I276" s="38"/>
      <c r="J276" s="38"/>
      <c r="K276" s="38"/>
    </row>
    <row r="277" spans="1:11" x14ac:dyDescent="0.2">
      <c r="A277" s="38"/>
      <c r="B277" s="38"/>
      <c r="C277" s="39"/>
      <c r="D277" s="39"/>
      <c r="E277" s="38"/>
      <c r="F277" s="39"/>
      <c r="G277" s="39"/>
      <c r="H277" s="38"/>
      <c r="I277" s="38"/>
      <c r="J277" s="38"/>
      <c r="K277" s="38"/>
    </row>
    <row r="278" spans="1:11" x14ac:dyDescent="0.2">
      <c r="A278" s="38"/>
      <c r="B278" s="38"/>
      <c r="C278" s="39"/>
      <c r="D278" s="39"/>
      <c r="E278" s="38"/>
      <c r="F278" s="39"/>
      <c r="G278" s="39"/>
      <c r="H278" s="38"/>
      <c r="I278" s="38"/>
      <c r="J278" s="38"/>
      <c r="K278" s="38"/>
    </row>
    <row r="279" spans="1:11" x14ac:dyDescent="0.2">
      <c r="A279" s="38"/>
      <c r="B279" s="38"/>
      <c r="C279" s="39"/>
      <c r="D279" s="39"/>
      <c r="E279" s="38"/>
      <c r="F279" s="39"/>
      <c r="G279" s="39"/>
      <c r="H279" s="38"/>
      <c r="I279" s="38"/>
      <c r="J279" s="38"/>
      <c r="K279" s="38"/>
    </row>
    <row r="280" spans="1:11" x14ac:dyDescent="0.2">
      <c r="A280" s="38"/>
      <c r="B280" s="38"/>
      <c r="C280" s="39"/>
      <c r="D280" s="39"/>
      <c r="E280" s="38"/>
      <c r="F280" s="39"/>
      <c r="G280" s="39"/>
      <c r="H280" s="38"/>
      <c r="I280" s="38"/>
      <c r="J280" s="38"/>
      <c r="K280" s="38"/>
    </row>
    <row r="281" spans="1:11" x14ac:dyDescent="0.2">
      <c r="A281" s="38"/>
      <c r="B281" s="38"/>
      <c r="C281" s="39"/>
      <c r="D281" s="39"/>
      <c r="E281" s="38"/>
      <c r="F281" s="39"/>
      <c r="G281" s="39"/>
      <c r="H281" s="38"/>
      <c r="I281" s="38"/>
      <c r="J281" s="38"/>
      <c r="K281" s="38"/>
    </row>
    <row r="282" spans="1:11" x14ac:dyDescent="0.2">
      <c r="A282" s="38"/>
      <c r="B282" s="38"/>
      <c r="C282" s="39"/>
      <c r="D282" s="39"/>
      <c r="E282" s="38"/>
      <c r="F282" s="39"/>
      <c r="G282" s="39"/>
      <c r="H282" s="38"/>
      <c r="I282" s="38"/>
      <c r="J282" s="38"/>
      <c r="K282" s="38"/>
    </row>
    <row r="283" spans="1:11" x14ac:dyDescent="0.2">
      <c r="A283" s="38"/>
      <c r="B283" s="38"/>
      <c r="C283" s="39"/>
      <c r="D283" s="39"/>
      <c r="E283" s="38"/>
      <c r="F283" s="39"/>
      <c r="G283" s="39"/>
      <c r="H283" s="38"/>
      <c r="I283" s="38"/>
      <c r="J283" s="38"/>
      <c r="K283" s="38"/>
    </row>
    <row r="284" spans="1:11" x14ac:dyDescent="0.2">
      <c r="A284" s="38"/>
      <c r="B284" s="38"/>
      <c r="C284" s="39"/>
      <c r="D284" s="39"/>
      <c r="E284" s="38"/>
      <c r="F284" s="39"/>
      <c r="G284" s="39"/>
      <c r="H284" s="38"/>
      <c r="I284" s="38"/>
      <c r="J284" s="38"/>
      <c r="K284" s="38"/>
    </row>
    <row r="285" spans="1:11" x14ac:dyDescent="0.2">
      <c r="A285" s="38"/>
      <c r="B285" s="38"/>
      <c r="C285" s="39"/>
      <c r="D285" s="39"/>
      <c r="E285" s="38"/>
      <c r="F285" s="39"/>
      <c r="G285" s="39"/>
      <c r="H285" s="38"/>
      <c r="I285" s="38"/>
      <c r="J285" s="38"/>
      <c r="K285" s="38"/>
    </row>
    <row r="286" spans="1:11" x14ac:dyDescent="0.2">
      <c r="A286" s="38"/>
      <c r="B286" s="38"/>
      <c r="C286" s="39"/>
      <c r="D286" s="39"/>
      <c r="E286" s="38"/>
      <c r="F286" s="39"/>
      <c r="G286" s="39"/>
      <c r="H286" s="38"/>
      <c r="I286" s="38"/>
      <c r="J286" s="38"/>
      <c r="K286" s="38"/>
    </row>
    <row r="287" spans="1:11" x14ac:dyDescent="0.2">
      <c r="A287" s="38"/>
      <c r="B287" s="38"/>
      <c r="C287" s="39"/>
      <c r="D287" s="39"/>
      <c r="E287" s="38"/>
      <c r="F287" s="39"/>
      <c r="G287" s="39"/>
      <c r="H287" s="38"/>
      <c r="I287" s="38"/>
      <c r="J287" s="38"/>
      <c r="K287" s="38"/>
    </row>
    <row r="288" spans="1:11" x14ac:dyDescent="0.2">
      <c r="A288" s="38"/>
      <c r="B288" s="38"/>
      <c r="C288" s="39"/>
      <c r="D288" s="39"/>
      <c r="E288" s="38"/>
      <c r="F288" s="39"/>
      <c r="G288" s="39"/>
      <c r="H288" s="38"/>
      <c r="I288" s="38"/>
      <c r="J288" s="38"/>
      <c r="K288" s="38"/>
    </row>
  </sheetData>
  <mergeCells count="13">
    <mergeCell ref="A1:K1"/>
    <mergeCell ref="A2:K2"/>
    <mergeCell ref="A4:A5"/>
    <mergeCell ref="A6:A17"/>
    <mergeCell ref="A18:B18"/>
    <mergeCell ref="A19:A30"/>
    <mergeCell ref="B4:B5"/>
    <mergeCell ref="A31:B31"/>
    <mergeCell ref="A32:A43"/>
    <mergeCell ref="A44:B44"/>
    <mergeCell ref="A45:A56"/>
    <mergeCell ref="A57:B57"/>
    <mergeCell ref="A58:B58"/>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18:K18 D31:K31 D19:D30 F19:K30 D44:K44 D32:D43 F32:K43 D57:K58 F45:K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8"/>
  <sheetViews>
    <sheetView showGridLines="0" zoomScaleNormal="100" zoomScaleSheetLayoutView="100" workbookViewId="0">
      <selection activeCell="H7" sqref="H6:H7"/>
    </sheetView>
  </sheetViews>
  <sheetFormatPr baseColWidth="10" defaultRowHeight="12.75" x14ac:dyDescent="0.2"/>
  <cols>
    <col min="1" max="1" width="12.5703125" style="27" customWidth="1"/>
    <col min="2" max="2" width="14.5703125" style="27" customWidth="1"/>
    <col min="3" max="3" width="14" style="40" customWidth="1"/>
    <col min="4" max="4" width="22.5703125" style="40" customWidth="1"/>
    <col min="5" max="5" width="21.85546875" style="27" customWidth="1"/>
    <col min="6" max="6" width="14" style="40" customWidth="1"/>
    <col min="7" max="7" width="22.5703125" style="40" customWidth="1"/>
    <col min="8" max="8" width="21.85546875" style="27" customWidth="1"/>
    <col min="9" max="9" width="15.42578125" style="27" bestFit="1" customWidth="1"/>
    <col min="10" max="10" width="21.42578125" style="27" bestFit="1" customWidth="1"/>
    <col min="11" max="11" width="16.42578125" style="27" bestFit="1" customWidth="1"/>
    <col min="12" max="12" width="11.42578125" style="27"/>
    <col min="13" max="13" width="15.85546875" style="27" bestFit="1" customWidth="1"/>
    <col min="14" max="16384" width="11.42578125" style="27"/>
  </cols>
  <sheetData>
    <row r="1" spans="1:11" ht="28.5" customHeight="1" x14ac:dyDescent="0.3">
      <c r="A1" s="259" t="s">
        <v>339</v>
      </c>
      <c r="B1" s="259"/>
      <c r="C1" s="259"/>
      <c r="D1" s="259"/>
      <c r="E1" s="259"/>
      <c r="F1" s="259"/>
      <c r="G1" s="259"/>
      <c r="H1" s="259"/>
      <c r="I1" s="259"/>
      <c r="J1" s="259"/>
      <c r="K1" s="259"/>
    </row>
    <row r="2" spans="1:11" ht="28.5" customHeight="1" x14ac:dyDescent="0.3">
      <c r="A2" s="259" t="s">
        <v>1197</v>
      </c>
      <c r="B2" s="259"/>
      <c r="C2" s="259"/>
      <c r="D2" s="259"/>
      <c r="E2" s="259"/>
      <c r="F2" s="259"/>
      <c r="G2" s="259"/>
      <c r="H2" s="259"/>
      <c r="I2" s="259"/>
      <c r="J2" s="259"/>
      <c r="K2" s="259"/>
    </row>
    <row r="3" spans="1:11" ht="15" x14ac:dyDescent="0.2">
      <c r="A3" s="28"/>
      <c r="B3" s="28"/>
      <c r="C3" s="29"/>
      <c r="D3" s="29"/>
      <c r="E3" s="28"/>
      <c r="F3" s="29"/>
      <c r="G3" s="29"/>
      <c r="H3" s="28"/>
      <c r="I3" s="28"/>
      <c r="J3" s="28"/>
      <c r="K3" s="30"/>
    </row>
    <row r="4" spans="1:11" ht="15" customHeight="1" x14ac:dyDescent="0.25">
      <c r="A4" s="257" t="s">
        <v>139</v>
      </c>
      <c r="B4" s="257" t="s">
        <v>140</v>
      </c>
      <c r="C4" s="43" t="s">
        <v>250</v>
      </c>
      <c r="D4" s="43"/>
      <c r="E4" s="43"/>
      <c r="F4" s="43" t="s">
        <v>251</v>
      </c>
      <c r="G4" s="42"/>
      <c r="H4" s="42"/>
      <c r="I4" s="43" t="s">
        <v>252</v>
      </c>
      <c r="J4" s="42"/>
      <c r="K4" s="42"/>
    </row>
    <row r="5" spans="1:11" s="33" customFormat="1" ht="47.25" customHeight="1" x14ac:dyDescent="0.2">
      <c r="A5" s="258"/>
      <c r="B5" s="260"/>
      <c r="C5" s="31" t="s">
        <v>159</v>
      </c>
      <c r="D5" s="32" t="s">
        <v>141</v>
      </c>
      <c r="E5" s="31" t="s">
        <v>160</v>
      </c>
      <c r="F5" s="31" t="s">
        <v>159</v>
      </c>
      <c r="G5" s="32" t="s">
        <v>141</v>
      </c>
      <c r="H5" s="31" t="s">
        <v>160</v>
      </c>
      <c r="I5" s="31" t="s">
        <v>161</v>
      </c>
      <c r="J5" s="32" t="s">
        <v>141</v>
      </c>
      <c r="K5" s="31" t="s">
        <v>162</v>
      </c>
    </row>
    <row r="6" spans="1:11" ht="15.75" customHeight="1" x14ac:dyDescent="0.2">
      <c r="A6" s="256" t="s">
        <v>134</v>
      </c>
      <c r="B6" s="34" t="s">
        <v>142</v>
      </c>
      <c r="C6" s="80">
        <f>'5b'!C6</f>
        <v>597</v>
      </c>
      <c r="D6" s="66">
        <f>+E6/C6</f>
        <v>7747463.7922042133</v>
      </c>
      <c r="E6" s="66">
        <f>'5b'!E6</f>
        <v>4625235883.9459152</v>
      </c>
      <c r="F6" s="80">
        <v>546</v>
      </c>
      <c r="G6" s="66">
        <f>IF(F6=0,0,H6/F6)</f>
        <v>7405017.948717949</v>
      </c>
      <c r="H6" s="66">
        <v>4043139800</v>
      </c>
      <c r="I6" s="67">
        <f>+F6/C6</f>
        <v>0.914572864321608</v>
      </c>
      <c r="J6" s="67">
        <f>+G6/D6</f>
        <v>0.9557989746488591</v>
      </c>
      <c r="K6" s="67">
        <f>+H6/E6</f>
        <v>0.87414780596026309</v>
      </c>
    </row>
    <row r="7" spans="1:11" ht="15" x14ac:dyDescent="0.2">
      <c r="A7" s="256"/>
      <c r="B7" s="34" t="s">
        <v>143</v>
      </c>
      <c r="C7" s="80">
        <f>'5b'!C7</f>
        <v>367</v>
      </c>
      <c r="D7" s="66">
        <f t="shared" ref="D7:D17" si="0">+E7/C7</f>
        <v>7809313.9292124584</v>
      </c>
      <c r="E7" s="66">
        <f>'5b'!E7</f>
        <v>2866018212.0209723</v>
      </c>
      <c r="F7" s="80">
        <v>636</v>
      </c>
      <c r="G7" s="66">
        <f>IF(F7=0,0,H7/F7)</f>
        <v>7790938.3135849051</v>
      </c>
      <c r="H7" s="66">
        <v>4955036767.4399996</v>
      </c>
      <c r="I7" s="67">
        <f t="shared" ref="I7:K22" si="1">+F7/C7</f>
        <v>1.7329700272479565</v>
      </c>
      <c r="J7" s="67">
        <f t="shared" si="1"/>
        <v>0.99764696159046506</v>
      </c>
      <c r="K7" s="67">
        <f t="shared" si="1"/>
        <v>1.7288922822112691</v>
      </c>
    </row>
    <row r="8" spans="1:11" ht="15" x14ac:dyDescent="0.2">
      <c r="A8" s="256"/>
      <c r="B8" s="34" t="s">
        <v>144</v>
      </c>
      <c r="C8" s="80">
        <f>'5b'!C8</f>
        <v>704</v>
      </c>
      <c r="D8" s="66">
        <f t="shared" si="0"/>
        <v>7835847.2658959264</v>
      </c>
      <c r="E8" s="66">
        <f>'5b'!E8</f>
        <v>5516436475.190732</v>
      </c>
      <c r="F8" s="80">
        <v>806</v>
      </c>
      <c r="G8" s="66">
        <f>IF(F8=0,0,H8/F8)</f>
        <v>8194787.5693052104</v>
      </c>
      <c r="H8" s="66">
        <v>6604998780.8599997</v>
      </c>
      <c r="I8" s="67">
        <f t="shared" si="1"/>
        <v>1.1448863636363635</v>
      </c>
      <c r="J8" s="67">
        <f t="shared" si="1"/>
        <v>1.0458074655144831</v>
      </c>
      <c r="K8" s="67">
        <f t="shared" si="1"/>
        <v>1.1973307062566383</v>
      </c>
    </row>
    <row r="9" spans="1:11" ht="15" x14ac:dyDescent="0.2">
      <c r="A9" s="256"/>
      <c r="B9" s="34" t="s">
        <v>145</v>
      </c>
      <c r="C9" s="80">
        <f>'5b'!C9</f>
        <v>386</v>
      </c>
      <c r="D9" s="66">
        <f t="shared" si="0"/>
        <v>7854597.1181345731</v>
      </c>
      <c r="E9" s="66">
        <f>'5b'!E9</f>
        <v>3031874487.5999451</v>
      </c>
      <c r="F9" s="80"/>
      <c r="G9" s="66"/>
      <c r="H9" s="66"/>
      <c r="I9" s="67">
        <f t="shared" si="1"/>
        <v>0</v>
      </c>
      <c r="J9" s="67">
        <f t="shared" si="1"/>
        <v>0</v>
      </c>
      <c r="K9" s="67">
        <f t="shared" si="1"/>
        <v>0</v>
      </c>
    </row>
    <row r="10" spans="1:11" ht="15" x14ac:dyDescent="0.2">
      <c r="A10" s="256"/>
      <c r="B10" s="34" t="s">
        <v>146</v>
      </c>
      <c r="C10" s="80">
        <f>'5b'!C10</f>
        <v>367</v>
      </c>
      <c r="D10" s="66">
        <f t="shared" si="0"/>
        <v>7873588.3242919156</v>
      </c>
      <c r="E10" s="66">
        <f>'5b'!E10</f>
        <v>2889606915.0151329</v>
      </c>
      <c r="F10" s="80"/>
      <c r="G10" s="66"/>
      <c r="H10" s="66"/>
      <c r="I10" s="67">
        <f t="shared" si="1"/>
        <v>0</v>
      </c>
      <c r="J10" s="67">
        <f t="shared" si="1"/>
        <v>0</v>
      </c>
      <c r="K10" s="67">
        <f t="shared" si="1"/>
        <v>0</v>
      </c>
    </row>
    <row r="11" spans="1:11" ht="15" x14ac:dyDescent="0.2">
      <c r="A11" s="256"/>
      <c r="B11" s="34" t="s">
        <v>147</v>
      </c>
      <c r="C11" s="80">
        <f>'5b'!C11</f>
        <v>247</v>
      </c>
      <c r="D11" s="66">
        <f t="shared" si="0"/>
        <v>7915874.1105284011</v>
      </c>
      <c r="E11" s="66">
        <f>'5b'!E11</f>
        <v>1955220905.3005152</v>
      </c>
      <c r="F11" s="80"/>
      <c r="G11" s="66"/>
      <c r="H11" s="66"/>
      <c r="I11" s="67">
        <f t="shared" si="1"/>
        <v>0</v>
      </c>
      <c r="J11" s="67">
        <f t="shared" si="1"/>
        <v>0</v>
      </c>
      <c r="K11" s="67">
        <f t="shared" si="1"/>
        <v>0</v>
      </c>
    </row>
    <row r="12" spans="1:11" ht="15" x14ac:dyDescent="0.2">
      <c r="A12" s="256"/>
      <c r="B12" s="34" t="s">
        <v>148</v>
      </c>
      <c r="C12" s="80">
        <f>'5b'!C12</f>
        <v>535</v>
      </c>
      <c r="D12" s="66">
        <f t="shared" si="0"/>
        <v>7945914.2003354169</v>
      </c>
      <c r="E12" s="66">
        <f>'5b'!E12</f>
        <v>4251064097.1794481</v>
      </c>
      <c r="F12" s="80"/>
      <c r="G12" s="66"/>
      <c r="H12" s="66"/>
      <c r="I12" s="67">
        <f t="shared" si="1"/>
        <v>0</v>
      </c>
      <c r="J12" s="67">
        <f t="shared" si="1"/>
        <v>0</v>
      </c>
      <c r="K12" s="67">
        <f t="shared" si="1"/>
        <v>0</v>
      </c>
    </row>
    <row r="13" spans="1:11" ht="15" x14ac:dyDescent="0.2">
      <c r="A13" s="256"/>
      <c r="B13" s="34" t="s">
        <v>149</v>
      </c>
      <c r="C13" s="80">
        <f>'5b'!C13</f>
        <v>434</v>
      </c>
      <c r="D13" s="66">
        <f t="shared" si="0"/>
        <v>7947519.9386416497</v>
      </c>
      <c r="E13" s="66">
        <f>'5b'!E13</f>
        <v>3449223653.3704758</v>
      </c>
      <c r="F13" s="80"/>
      <c r="G13" s="66"/>
      <c r="H13" s="66"/>
      <c r="I13" s="67">
        <f t="shared" si="1"/>
        <v>0</v>
      </c>
      <c r="J13" s="67">
        <f t="shared" si="1"/>
        <v>0</v>
      </c>
      <c r="K13" s="67">
        <f t="shared" si="1"/>
        <v>0</v>
      </c>
    </row>
    <row r="14" spans="1:11" ht="15" x14ac:dyDescent="0.2">
      <c r="A14" s="256"/>
      <c r="B14" s="34" t="s">
        <v>150</v>
      </c>
      <c r="C14" s="80">
        <f>'5b'!C14</f>
        <v>716</v>
      </c>
      <c r="D14" s="66">
        <f t="shared" si="0"/>
        <v>8026322.2507307595</v>
      </c>
      <c r="E14" s="66">
        <f>'5b'!E14</f>
        <v>5746846731.5232239</v>
      </c>
      <c r="F14" s="80"/>
      <c r="G14" s="66"/>
      <c r="H14" s="66"/>
      <c r="I14" s="67">
        <f t="shared" si="1"/>
        <v>0</v>
      </c>
      <c r="J14" s="67">
        <f t="shared" si="1"/>
        <v>0</v>
      </c>
      <c r="K14" s="67">
        <f t="shared" si="1"/>
        <v>0</v>
      </c>
    </row>
    <row r="15" spans="1:11" ht="15" x14ac:dyDescent="0.2">
      <c r="A15" s="256"/>
      <c r="B15" s="34" t="s">
        <v>151</v>
      </c>
      <c r="C15" s="80">
        <f>'5b'!C15</f>
        <v>589</v>
      </c>
      <c r="D15" s="66">
        <f t="shared" si="0"/>
        <v>8054236.9270117749</v>
      </c>
      <c r="E15" s="66">
        <f>'5b'!E15</f>
        <v>4743945550.0099354</v>
      </c>
      <c r="F15" s="80"/>
      <c r="G15" s="66"/>
      <c r="H15" s="66"/>
      <c r="I15" s="67">
        <f t="shared" si="1"/>
        <v>0</v>
      </c>
      <c r="J15" s="67">
        <f t="shared" si="1"/>
        <v>0</v>
      </c>
      <c r="K15" s="67">
        <f t="shared" si="1"/>
        <v>0</v>
      </c>
    </row>
    <row r="16" spans="1:11" ht="15" x14ac:dyDescent="0.2">
      <c r="A16" s="256"/>
      <c r="B16" s="34" t="s">
        <v>152</v>
      </c>
      <c r="C16" s="80">
        <f>'5b'!C16</f>
        <v>338</v>
      </c>
      <c r="D16" s="66">
        <f t="shared" si="0"/>
        <v>8074147.5712656183</v>
      </c>
      <c r="E16" s="66">
        <f>'5b'!E16</f>
        <v>2729061879.087779</v>
      </c>
      <c r="F16" s="80"/>
      <c r="G16" s="66"/>
      <c r="H16" s="66"/>
      <c r="I16" s="67">
        <f t="shared" si="1"/>
        <v>0</v>
      </c>
      <c r="J16" s="67">
        <f t="shared" si="1"/>
        <v>0</v>
      </c>
      <c r="K16" s="67">
        <f t="shared" si="1"/>
        <v>0</v>
      </c>
    </row>
    <row r="17" spans="1:13" ht="15" x14ac:dyDescent="0.2">
      <c r="A17" s="256"/>
      <c r="B17" s="34" t="s">
        <v>153</v>
      </c>
      <c r="C17" s="80">
        <f>'5b'!C17</f>
        <v>352</v>
      </c>
      <c r="D17" s="66">
        <f t="shared" si="0"/>
        <v>8087173.8520893781</v>
      </c>
      <c r="E17" s="66">
        <f>'5b'!E17</f>
        <v>2846685195.935461</v>
      </c>
      <c r="F17" s="80"/>
      <c r="G17" s="66"/>
      <c r="H17" s="66"/>
      <c r="I17" s="67">
        <f t="shared" si="1"/>
        <v>0</v>
      </c>
      <c r="J17" s="67">
        <f t="shared" si="1"/>
        <v>0</v>
      </c>
      <c r="K17" s="67">
        <f t="shared" si="1"/>
        <v>0</v>
      </c>
    </row>
    <row r="18" spans="1:13" s="37" customFormat="1" ht="15.75" x14ac:dyDescent="0.2">
      <c r="A18" s="254" t="s">
        <v>154</v>
      </c>
      <c r="B18" s="255"/>
      <c r="C18" s="79">
        <f>SUM(C6:C17)</f>
        <v>5632</v>
      </c>
      <c r="D18" s="45">
        <f>IF(C18=0,0,E18/C18)</f>
        <v>7928128.5486824457</v>
      </c>
      <c r="E18" s="45">
        <f>SUM(E6:E17)</f>
        <v>44651219986.179535</v>
      </c>
      <c r="F18" s="79">
        <f>SUM(F6:F17)</f>
        <v>1988</v>
      </c>
      <c r="G18" s="45">
        <f>IF(F18=0,0,H18/F18)</f>
        <v>7848679.7526659956</v>
      </c>
      <c r="H18" s="45">
        <f>SUM(H6:H17)</f>
        <v>15603175348.299999</v>
      </c>
      <c r="I18" s="68">
        <f>+F18/C18</f>
        <v>0.35298295454545453</v>
      </c>
      <c r="J18" s="69">
        <f t="shared" si="1"/>
        <v>0.98997887136559437</v>
      </c>
      <c r="K18" s="69">
        <f t="shared" si="1"/>
        <v>0.34944566695220197</v>
      </c>
      <c r="L18" s="81"/>
      <c r="M18" s="81"/>
    </row>
    <row r="19" spans="1:13" ht="15.75" customHeight="1" x14ac:dyDescent="0.2">
      <c r="A19" s="256" t="s">
        <v>135</v>
      </c>
      <c r="B19" s="34" t="s">
        <v>142</v>
      </c>
      <c r="C19" s="80">
        <f>'5b'!C19</f>
        <v>102</v>
      </c>
      <c r="D19" s="66">
        <f>+E19/C19</f>
        <v>15528577.012975968</v>
      </c>
      <c r="E19" s="66">
        <f>'5b'!E19</f>
        <v>1583914855.3235488</v>
      </c>
      <c r="F19" s="80">
        <v>253</v>
      </c>
      <c r="G19" s="66">
        <f>IF(F19=0,0,H19/F19)</f>
        <v>13278820.491976283</v>
      </c>
      <c r="H19" s="66">
        <v>3359541584.4699998</v>
      </c>
      <c r="I19" s="67">
        <f>+F19/C19</f>
        <v>2.4803921568627452</v>
      </c>
      <c r="J19" s="67">
        <f t="shared" si="1"/>
        <v>0.85512152728999269</v>
      </c>
      <c r="K19" s="67">
        <f t="shared" si="1"/>
        <v>2.1210367294545898</v>
      </c>
    </row>
    <row r="20" spans="1:13" ht="15" x14ac:dyDescent="0.2">
      <c r="A20" s="256"/>
      <c r="B20" s="34" t="s">
        <v>143</v>
      </c>
      <c r="C20" s="80">
        <f>'5b'!C20</f>
        <v>144</v>
      </c>
      <c r="D20" s="66">
        <f t="shared" ref="D20:D30" si="2">+E20/C20</f>
        <v>15624133.714741893</v>
      </c>
      <c r="E20" s="66">
        <f>'5b'!E20</f>
        <v>2249875254.9228325</v>
      </c>
      <c r="F20" s="80">
        <v>317</v>
      </c>
      <c r="G20" s="66">
        <f>IF(F20=0,0,H20/F20)</f>
        <v>12638680.944290221</v>
      </c>
      <c r="H20" s="66">
        <v>4006461859.3400002</v>
      </c>
      <c r="I20" s="67">
        <f t="shared" ref="I20:K35" si="3">+F20/C20</f>
        <v>2.2013888888888888</v>
      </c>
      <c r="J20" s="67">
        <f t="shared" si="1"/>
        <v>0.80892042880849147</v>
      </c>
      <c r="K20" s="67">
        <f t="shared" si="1"/>
        <v>1.7807484439742487</v>
      </c>
    </row>
    <row r="21" spans="1:13" ht="15" x14ac:dyDescent="0.2">
      <c r="A21" s="256"/>
      <c r="B21" s="34" t="s">
        <v>144</v>
      </c>
      <c r="C21" s="80">
        <f>'5b'!C21</f>
        <v>153</v>
      </c>
      <c r="D21" s="66">
        <f t="shared" si="2"/>
        <v>15658190.255509676</v>
      </c>
      <c r="E21" s="66">
        <f>'5b'!E21</f>
        <v>2395703109.0929804</v>
      </c>
      <c r="F21" s="80">
        <v>214</v>
      </c>
      <c r="G21" s="66">
        <f>IF(F21=0,0,H21/F21)</f>
        <v>11447765.22990654</v>
      </c>
      <c r="H21" s="66">
        <v>2449821759.1999998</v>
      </c>
      <c r="I21" s="67">
        <f t="shared" si="3"/>
        <v>1.3986928104575163</v>
      </c>
      <c r="J21" s="67">
        <f t="shared" si="1"/>
        <v>0.73110398092642881</v>
      </c>
      <c r="K21" s="67">
        <f t="shared" si="1"/>
        <v>1.0225898818186654</v>
      </c>
    </row>
    <row r="22" spans="1:13" ht="15" x14ac:dyDescent="0.2">
      <c r="A22" s="256"/>
      <c r="B22" s="34" t="s">
        <v>145</v>
      </c>
      <c r="C22" s="80">
        <f>'5b'!C22</f>
        <v>219</v>
      </c>
      <c r="D22" s="66">
        <f t="shared" si="2"/>
        <v>15704136.465051956</v>
      </c>
      <c r="E22" s="66">
        <f>'5b'!E22</f>
        <v>3439205885.8463783</v>
      </c>
      <c r="F22" s="80"/>
      <c r="G22" s="66"/>
      <c r="H22" s="66"/>
      <c r="I22" s="67">
        <f t="shared" si="3"/>
        <v>0</v>
      </c>
      <c r="J22" s="67">
        <f t="shared" si="1"/>
        <v>0</v>
      </c>
      <c r="K22" s="67">
        <f t="shared" si="1"/>
        <v>0</v>
      </c>
    </row>
    <row r="23" spans="1:13" ht="15" x14ac:dyDescent="0.2">
      <c r="A23" s="256"/>
      <c r="B23" s="34" t="s">
        <v>146</v>
      </c>
      <c r="C23" s="80">
        <f>'5b'!C23</f>
        <v>134</v>
      </c>
      <c r="D23" s="66">
        <f t="shared" si="2"/>
        <v>15737979.583307607</v>
      </c>
      <c r="E23" s="66">
        <f>'5b'!E23</f>
        <v>2108889264.1632195</v>
      </c>
      <c r="F23" s="80"/>
      <c r="G23" s="66"/>
      <c r="H23" s="66"/>
      <c r="I23" s="67">
        <f t="shared" si="3"/>
        <v>0</v>
      </c>
      <c r="J23" s="67">
        <f t="shared" si="3"/>
        <v>0</v>
      </c>
      <c r="K23" s="67">
        <f t="shared" si="3"/>
        <v>0</v>
      </c>
    </row>
    <row r="24" spans="1:13" ht="15" x14ac:dyDescent="0.2">
      <c r="A24" s="256"/>
      <c r="B24" s="34" t="s">
        <v>147</v>
      </c>
      <c r="C24" s="80">
        <f>'5b'!C24</f>
        <v>87</v>
      </c>
      <c r="D24" s="66">
        <f t="shared" si="2"/>
        <v>15821643.408655627</v>
      </c>
      <c r="E24" s="66">
        <f>'5b'!E24</f>
        <v>1376482976.5530396</v>
      </c>
      <c r="F24" s="80"/>
      <c r="G24" s="66"/>
      <c r="H24" s="66"/>
      <c r="I24" s="67">
        <f t="shared" si="3"/>
        <v>0</v>
      </c>
      <c r="J24" s="67">
        <f t="shared" si="3"/>
        <v>0</v>
      </c>
      <c r="K24" s="67">
        <f t="shared" si="3"/>
        <v>0</v>
      </c>
    </row>
    <row r="25" spans="1:13" ht="15" x14ac:dyDescent="0.2">
      <c r="A25" s="256"/>
      <c r="B25" s="34" t="s">
        <v>148</v>
      </c>
      <c r="C25" s="80">
        <f>'5b'!C25</f>
        <v>119</v>
      </c>
      <c r="D25" s="66">
        <f t="shared" si="2"/>
        <v>15880852.82477076</v>
      </c>
      <c r="E25" s="66">
        <f>'5b'!E25</f>
        <v>1889821486.1477203</v>
      </c>
      <c r="F25" s="80"/>
      <c r="G25" s="66"/>
      <c r="H25" s="66"/>
      <c r="I25" s="67">
        <f t="shared" si="3"/>
        <v>0</v>
      </c>
      <c r="J25" s="67">
        <f t="shared" si="3"/>
        <v>0</v>
      </c>
      <c r="K25" s="67">
        <f t="shared" si="3"/>
        <v>0</v>
      </c>
    </row>
    <row r="26" spans="1:13" ht="15" x14ac:dyDescent="0.2">
      <c r="A26" s="256"/>
      <c r="B26" s="34" t="s">
        <v>149</v>
      </c>
      <c r="C26" s="80">
        <f>'5b'!C26</f>
        <v>136</v>
      </c>
      <c r="D26" s="66">
        <f t="shared" si="2"/>
        <v>15936752.68668768</v>
      </c>
      <c r="E26" s="66">
        <f>'5b'!E26</f>
        <v>2167398365.3895245</v>
      </c>
      <c r="F26" s="80"/>
      <c r="G26" s="66"/>
      <c r="H26" s="66"/>
      <c r="I26" s="67">
        <f t="shared" si="3"/>
        <v>0</v>
      </c>
      <c r="J26" s="67">
        <f t="shared" si="3"/>
        <v>0</v>
      </c>
      <c r="K26" s="67">
        <f t="shared" si="3"/>
        <v>0</v>
      </c>
    </row>
    <row r="27" spans="1:13" ht="15" x14ac:dyDescent="0.2">
      <c r="A27" s="256"/>
      <c r="B27" s="34" t="s">
        <v>150</v>
      </c>
      <c r="C27" s="80">
        <f>'5b'!C27</f>
        <v>210</v>
      </c>
      <c r="D27" s="66">
        <f t="shared" si="2"/>
        <v>16005791.403220108</v>
      </c>
      <c r="E27" s="66">
        <f>'5b'!E27</f>
        <v>3361216194.6762228</v>
      </c>
      <c r="F27" s="80"/>
      <c r="G27" s="66"/>
      <c r="H27" s="66"/>
      <c r="I27" s="67">
        <f t="shared" si="3"/>
        <v>0</v>
      </c>
      <c r="J27" s="67">
        <f t="shared" si="3"/>
        <v>0</v>
      </c>
      <c r="K27" s="67">
        <f t="shared" si="3"/>
        <v>0</v>
      </c>
    </row>
    <row r="28" spans="1:13" ht="15" x14ac:dyDescent="0.2">
      <c r="A28" s="256"/>
      <c r="B28" s="34" t="s">
        <v>151</v>
      </c>
      <c r="C28" s="80">
        <f>'5b'!C28</f>
        <v>106</v>
      </c>
      <c r="D28" s="66">
        <f t="shared" si="2"/>
        <v>16091876.605504809</v>
      </c>
      <c r="E28" s="66">
        <f>'5b'!E28</f>
        <v>1705738920.1835098</v>
      </c>
      <c r="F28" s="80"/>
      <c r="G28" s="66"/>
      <c r="H28" s="66"/>
      <c r="I28" s="67">
        <f t="shared" si="3"/>
        <v>0</v>
      </c>
      <c r="J28" s="67">
        <f t="shared" si="3"/>
        <v>0</v>
      </c>
      <c r="K28" s="67">
        <f t="shared" si="3"/>
        <v>0</v>
      </c>
    </row>
    <row r="29" spans="1:13" ht="15" x14ac:dyDescent="0.2">
      <c r="A29" s="256"/>
      <c r="B29" s="34" t="s">
        <v>152</v>
      </c>
      <c r="C29" s="80">
        <f>'5b'!C29</f>
        <v>121</v>
      </c>
      <c r="D29" s="66">
        <f t="shared" si="2"/>
        <v>16117786.673074096</v>
      </c>
      <c r="E29" s="66">
        <f>'5b'!E29</f>
        <v>1950252187.4419656</v>
      </c>
      <c r="F29" s="80"/>
      <c r="G29" s="66"/>
      <c r="H29" s="66"/>
      <c r="I29" s="67">
        <f t="shared" si="3"/>
        <v>0</v>
      </c>
      <c r="J29" s="67">
        <f t="shared" si="3"/>
        <v>0</v>
      </c>
      <c r="K29" s="67">
        <f t="shared" si="3"/>
        <v>0</v>
      </c>
    </row>
    <row r="30" spans="1:13" ht="15" x14ac:dyDescent="0.2">
      <c r="A30" s="256"/>
      <c r="B30" s="34" t="s">
        <v>153</v>
      </c>
      <c r="C30" s="80">
        <f>'5b'!C30</f>
        <v>106</v>
      </c>
      <c r="D30" s="66">
        <f t="shared" si="2"/>
        <v>16141027.099829417</v>
      </c>
      <c r="E30" s="66">
        <f>'5b'!E30</f>
        <v>1710948872.5819182</v>
      </c>
      <c r="F30" s="80"/>
      <c r="G30" s="66"/>
      <c r="H30" s="66"/>
      <c r="I30" s="67">
        <f t="shared" si="3"/>
        <v>0</v>
      </c>
      <c r="J30" s="67">
        <f t="shared" si="3"/>
        <v>0</v>
      </c>
      <c r="K30" s="67">
        <f t="shared" si="3"/>
        <v>0</v>
      </c>
    </row>
    <row r="31" spans="1:13" s="37" customFormat="1" ht="15.75" x14ac:dyDescent="0.2">
      <c r="A31" s="254" t="s">
        <v>155</v>
      </c>
      <c r="B31" s="255"/>
      <c r="C31" s="79">
        <f>SUM(C19:C30)</f>
        <v>1637</v>
      </c>
      <c r="D31" s="45">
        <f>IF(C31=0,0,E31/C31)</f>
        <v>15845722.279977312</v>
      </c>
      <c r="E31" s="45">
        <f>SUM(E19:E30)</f>
        <v>25939447372.322861</v>
      </c>
      <c r="F31" s="79">
        <f>SUM(F19:F30)</f>
        <v>784</v>
      </c>
      <c r="G31" s="45">
        <f>IF(F31=0,0,H31/F31)</f>
        <v>12520185.207920916</v>
      </c>
      <c r="H31" s="45">
        <f>SUM(H19:H30)</f>
        <v>9815825203.0099983</v>
      </c>
      <c r="I31" s="68">
        <f t="shared" si="3"/>
        <v>0.47892486255345146</v>
      </c>
      <c r="J31" s="69">
        <f t="shared" si="3"/>
        <v>0.79013029426506154</v>
      </c>
      <c r="K31" s="69">
        <f t="shared" si="3"/>
        <v>0.37841304258021274</v>
      </c>
      <c r="L31" s="81"/>
      <c r="M31" s="81"/>
    </row>
    <row r="32" spans="1:13" ht="15.75" customHeight="1" x14ac:dyDescent="0.2">
      <c r="A32" s="256" t="s">
        <v>136</v>
      </c>
      <c r="B32" s="34" t="s">
        <v>142</v>
      </c>
      <c r="C32" s="80">
        <f>'5b'!C32</f>
        <v>14</v>
      </c>
      <c r="D32" s="66">
        <f>+E32/C32</f>
        <v>18800779.11333691</v>
      </c>
      <c r="E32" s="66">
        <f>'5b'!E32</f>
        <v>263210907.58671674</v>
      </c>
      <c r="F32" s="80">
        <v>180</v>
      </c>
      <c r="G32" s="66">
        <f>IF(F32=0,0,H32/F32)</f>
        <v>17096889.136888888</v>
      </c>
      <c r="H32" s="66">
        <v>3077440044.6399999</v>
      </c>
      <c r="I32" s="67">
        <f>+F32/C32</f>
        <v>12.857142857142858</v>
      </c>
      <c r="J32" s="67">
        <f t="shared" si="3"/>
        <v>0.90937131029642726</v>
      </c>
      <c r="K32" s="67">
        <f t="shared" si="3"/>
        <v>11.691916846668351</v>
      </c>
    </row>
    <row r="33" spans="1:13" ht="15" x14ac:dyDescent="0.2">
      <c r="A33" s="256"/>
      <c r="B33" s="34" t="s">
        <v>143</v>
      </c>
      <c r="C33" s="80">
        <f>'5b'!C33</f>
        <v>18</v>
      </c>
      <c r="D33" s="66">
        <f t="shared" ref="D33:D43" si="4">+E33/C33</f>
        <v>18824640.455912888</v>
      </c>
      <c r="E33" s="66">
        <f>'5b'!E33</f>
        <v>338843528.20643198</v>
      </c>
      <c r="F33" s="80">
        <v>143</v>
      </c>
      <c r="G33" s="66">
        <f>IF(F33=0,0,H33/F33)</f>
        <v>11537552.352517484</v>
      </c>
      <c r="H33" s="66">
        <v>1649869986.4100001</v>
      </c>
      <c r="I33" s="67">
        <f t="shared" ref="I33:K48" si="5">+F33/C33</f>
        <v>7.9444444444444446</v>
      </c>
      <c r="J33" s="67">
        <f t="shared" si="3"/>
        <v>0.61289629300162796</v>
      </c>
      <c r="K33" s="67">
        <f t="shared" si="3"/>
        <v>4.8691205499573771</v>
      </c>
    </row>
    <row r="34" spans="1:13" ht="15" x14ac:dyDescent="0.2">
      <c r="A34" s="256"/>
      <c r="B34" s="34" t="s">
        <v>144</v>
      </c>
      <c r="C34" s="80">
        <f>'5b'!C34</f>
        <v>71</v>
      </c>
      <c r="D34" s="66">
        <f t="shared" si="4"/>
        <v>18925799.105425138</v>
      </c>
      <c r="E34" s="66">
        <f>'5b'!E34</f>
        <v>1343731736.4851849</v>
      </c>
      <c r="F34" s="80">
        <v>102</v>
      </c>
      <c r="G34" s="66">
        <f>IF(F34=0,0,H34/F34)</f>
        <v>8580076.8279411774</v>
      </c>
      <c r="H34" s="66">
        <v>875167836.45000005</v>
      </c>
      <c r="I34" s="67">
        <f t="shared" si="5"/>
        <v>1.4366197183098592</v>
      </c>
      <c r="J34" s="67">
        <f t="shared" si="3"/>
        <v>0.45335347692038391</v>
      </c>
      <c r="K34" s="67">
        <f t="shared" si="3"/>
        <v>0.65129654430815709</v>
      </c>
    </row>
    <row r="35" spans="1:13" ht="15" x14ac:dyDescent="0.2">
      <c r="A35" s="256"/>
      <c r="B35" s="34" t="s">
        <v>145</v>
      </c>
      <c r="C35" s="80">
        <f>'5b'!C35</f>
        <v>24</v>
      </c>
      <c r="D35" s="66">
        <f t="shared" si="4"/>
        <v>18866397.805420853</v>
      </c>
      <c r="E35" s="66">
        <f>'5b'!E35</f>
        <v>452793547.33010048</v>
      </c>
      <c r="F35" s="80"/>
      <c r="G35" s="66"/>
      <c r="H35" s="66"/>
      <c r="I35" s="67">
        <f t="shared" si="5"/>
        <v>0</v>
      </c>
      <c r="J35" s="67">
        <f t="shared" si="3"/>
        <v>0</v>
      </c>
      <c r="K35" s="67">
        <f t="shared" si="3"/>
        <v>0</v>
      </c>
    </row>
    <row r="36" spans="1:13" ht="15" x14ac:dyDescent="0.2">
      <c r="A36" s="256"/>
      <c r="B36" s="34" t="s">
        <v>146</v>
      </c>
      <c r="C36" s="80">
        <f>'5b'!C36</f>
        <v>38</v>
      </c>
      <c r="D36" s="66">
        <f t="shared" si="4"/>
        <v>19132326.189129464</v>
      </c>
      <c r="E36" s="66">
        <f>'5b'!E36</f>
        <v>727028395.18691969</v>
      </c>
      <c r="F36" s="80"/>
      <c r="G36" s="66"/>
      <c r="H36" s="66"/>
      <c r="I36" s="67">
        <f t="shared" si="5"/>
        <v>0</v>
      </c>
      <c r="J36" s="67">
        <f t="shared" si="5"/>
        <v>0</v>
      </c>
      <c r="K36" s="67">
        <f t="shared" si="5"/>
        <v>0</v>
      </c>
    </row>
    <row r="37" spans="1:13" ht="15" x14ac:dyDescent="0.2">
      <c r="A37" s="256"/>
      <c r="B37" s="34" t="s">
        <v>147</v>
      </c>
      <c r="C37" s="80">
        <f>'5b'!C37</f>
        <v>16</v>
      </c>
      <c r="D37" s="66">
        <f t="shared" si="4"/>
        <v>19096063.227714654</v>
      </c>
      <c r="E37" s="66">
        <f>'5b'!E37</f>
        <v>305537011.64343446</v>
      </c>
      <c r="F37" s="80"/>
      <c r="G37" s="66"/>
      <c r="H37" s="66"/>
      <c r="I37" s="67">
        <f t="shared" si="5"/>
        <v>0</v>
      </c>
      <c r="J37" s="67">
        <f t="shared" si="5"/>
        <v>0</v>
      </c>
      <c r="K37" s="67">
        <f t="shared" si="5"/>
        <v>0</v>
      </c>
    </row>
    <row r="38" spans="1:13" ht="15" x14ac:dyDescent="0.2">
      <c r="A38" s="256"/>
      <c r="B38" s="34" t="s">
        <v>148</v>
      </c>
      <c r="C38" s="80">
        <f>'5b'!C38</f>
        <v>18</v>
      </c>
      <c r="D38" s="66">
        <f t="shared" si="4"/>
        <v>19134395.526017781</v>
      </c>
      <c r="E38" s="66">
        <f>'5b'!E38</f>
        <v>344419119.46832007</v>
      </c>
      <c r="F38" s="80"/>
      <c r="G38" s="66"/>
      <c r="H38" s="66"/>
      <c r="I38" s="67">
        <f t="shared" si="5"/>
        <v>0</v>
      </c>
      <c r="J38" s="67">
        <f t="shared" si="5"/>
        <v>0</v>
      </c>
      <c r="K38" s="67">
        <f t="shared" si="5"/>
        <v>0</v>
      </c>
    </row>
    <row r="39" spans="1:13" ht="15" x14ac:dyDescent="0.2">
      <c r="A39" s="256"/>
      <c r="B39" s="34" t="s">
        <v>149</v>
      </c>
      <c r="C39" s="80">
        <f>'5b'!C39</f>
        <v>43</v>
      </c>
      <c r="D39" s="66">
        <f t="shared" si="4"/>
        <v>19353196.621577345</v>
      </c>
      <c r="E39" s="66">
        <f>'5b'!E39</f>
        <v>832187454.72782588</v>
      </c>
      <c r="F39" s="80"/>
      <c r="G39" s="66"/>
      <c r="H39" s="66"/>
      <c r="I39" s="67">
        <f t="shared" si="5"/>
        <v>0</v>
      </c>
      <c r="J39" s="67">
        <f t="shared" si="5"/>
        <v>0</v>
      </c>
      <c r="K39" s="67">
        <f t="shared" si="5"/>
        <v>0</v>
      </c>
    </row>
    <row r="40" spans="1:13" ht="15" x14ac:dyDescent="0.2">
      <c r="A40" s="256"/>
      <c r="B40" s="34" t="s">
        <v>150</v>
      </c>
      <c r="C40" s="80">
        <f>'5b'!C40</f>
        <v>50</v>
      </c>
      <c r="D40" s="66">
        <f t="shared" si="4"/>
        <v>19487587.634480558</v>
      </c>
      <c r="E40" s="66">
        <f>'5b'!E40</f>
        <v>974379381.72402799</v>
      </c>
      <c r="F40" s="80"/>
      <c r="G40" s="66"/>
      <c r="H40" s="66"/>
      <c r="I40" s="67">
        <f t="shared" si="5"/>
        <v>0</v>
      </c>
      <c r="J40" s="67">
        <f t="shared" si="5"/>
        <v>0</v>
      </c>
      <c r="K40" s="67">
        <f t="shared" si="5"/>
        <v>0</v>
      </c>
    </row>
    <row r="41" spans="1:13" ht="15" x14ac:dyDescent="0.2">
      <c r="A41" s="256"/>
      <c r="B41" s="34" t="s">
        <v>151</v>
      </c>
      <c r="C41" s="80">
        <f>'5b'!C41</f>
        <v>75</v>
      </c>
      <c r="D41" s="66">
        <f t="shared" si="4"/>
        <v>19562114.652326528</v>
      </c>
      <c r="E41" s="66">
        <f>'5b'!E41</f>
        <v>1467158598.9244895</v>
      </c>
      <c r="F41" s="80"/>
      <c r="G41" s="66"/>
      <c r="H41" s="66"/>
      <c r="I41" s="67">
        <f t="shared" si="5"/>
        <v>0</v>
      </c>
      <c r="J41" s="67">
        <f t="shared" si="5"/>
        <v>0</v>
      </c>
      <c r="K41" s="67">
        <f t="shared" si="5"/>
        <v>0</v>
      </c>
    </row>
    <row r="42" spans="1:13" ht="15" x14ac:dyDescent="0.2">
      <c r="A42" s="256"/>
      <c r="B42" s="34" t="s">
        <v>152</v>
      </c>
      <c r="C42" s="80">
        <f>'5b'!C42</f>
        <v>18</v>
      </c>
      <c r="D42" s="66">
        <f t="shared" si="4"/>
        <v>19658239.104232233</v>
      </c>
      <c r="E42" s="66">
        <f>'5b'!E42</f>
        <v>353848303.87618017</v>
      </c>
      <c r="F42" s="80"/>
      <c r="G42" s="66"/>
      <c r="H42" s="66"/>
      <c r="I42" s="67">
        <f t="shared" si="5"/>
        <v>0</v>
      </c>
      <c r="J42" s="67">
        <f t="shared" si="5"/>
        <v>0</v>
      </c>
      <c r="K42" s="67">
        <f t="shared" si="5"/>
        <v>0</v>
      </c>
    </row>
    <row r="43" spans="1:13" ht="15" x14ac:dyDescent="0.2">
      <c r="A43" s="256"/>
      <c r="B43" s="34" t="s">
        <v>153</v>
      </c>
      <c r="C43" s="80">
        <f>'5b'!C43</f>
        <v>22</v>
      </c>
      <c r="D43" s="66">
        <f t="shared" si="4"/>
        <v>19716908.395869374</v>
      </c>
      <c r="E43" s="66">
        <f>'5b'!E43</f>
        <v>433771984.70912623</v>
      </c>
      <c r="F43" s="80"/>
      <c r="G43" s="66"/>
      <c r="H43" s="66"/>
      <c r="I43" s="67">
        <f t="shared" si="5"/>
        <v>0</v>
      </c>
      <c r="J43" s="67">
        <f t="shared" si="5"/>
        <v>0</v>
      </c>
      <c r="K43" s="67">
        <f t="shared" si="5"/>
        <v>0</v>
      </c>
    </row>
    <row r="44" spans="1:13" s="37" customFormat="1" ht="15.75" x14ac:dyDescent="0.2">
      <c r="A44" s="254" t="s">
        <v>156</v>
      </c>
      <c r="B44" s="255"/>
      <c r="C44" s="79">
        <f>SUM(C32:C43)</f>
        <v>407</v>
      </c>
      <c r="D44" s="45">
        <f>IF(C44=0,0,E44/C44)</f>
        <v>19255307.05127459</v>
      </c>
      <c r="E44" s="45">
        <f>SUM(E32:E43)</f>
        <v>7836909969.8687582</v>
      </c>
      <c r="F44" s="79">
        <f>SUM(F32:F43)</f>
        <v>425</v>
      </c>
      <c r="G44" s="45">
        <f>IF(F44=0,0,H44/F44)</f>
        <v>13182300.864705883</v>
      </c>
      <c r="H44" s="45">
        <f>SUM(H32:H43)</f>
        <v>5602477867.5</v>
      </c>
      <c r="I44" s="68">
        <f t="shared" si="5"/>
        <v>1.0442260442260443</v>
      </c>
      <c r="J44" s="69">
        <f t="shared" si="5"/>
        <v>0.68460611038831976</v>
      </c>
      <c r="K44" s="69">
        <f t="shared" si="5"/>
        <v>0.71488353050377362</v>
      </c>
      <c r="L44" s="81"/>
      <c r="M44" s="81"/>
    </row>
    <row r="45" spans="1:13" ht="15.75" customHeight="1" x14ac:dyDescent="0.2">
      <c r="A45" s="256" t="s">
        <v>157</v>
      </c>
      <c r="B45" s="34" t="s">
        <v>142</v>
      </c>
      <c r="C45" s="80">
        <f>'5b'!C45</f>
        <v>63</v>
      </c>
      <c r="D45" s="66">
        <f>+E45/C45</f>
        <v>6513710.5758728646</v>
      </c>
      <c r="E45" s="66">
        <f>'5b'!E45</f>
        <v>410363766.27999049</v>
      </c>
      <c r="F45" s="80">
        <v>70</v>
      </c>
      <c r="G45" s="66">
        <f>IF(F45=0,0,H45/F45)</f>
        <v>6858814.2857142854</v>
      </c>
      <c r="H45" s="66">
        <v>480117000</v>
      </c>
      <c r="I45" s="67">
        <f>+F45/C45</f>
        <v>1.1111111111111112</v>
      </c>
      <c r="J45" s="67">
        <f t="shared" si="5"/>
        <v>1.0529811243256193</v>
      </c>
      <c r="K45" s="67">
        <f t="shared" si="5"/>
        <v>1.1699790270284658</v>
      </c>
    </row>
    <row r="46" spans="1:13" ht="15" x14ac:dyDescent="0.2">
      <c r="A46" s="256"/>
      <c r="B46" s="34" t="s">
        <v>143</v>
      </c>
      <c r="C46" s="80">
        <f>'5b'!C46</f>
        <v>54</v>
      </c>
      <c r="D46" s="66">
        <f t="shared" ref="D46:D56" si="6">+E46/C46</f>
        <v>6552414.9175158506</v>
      </c>
      <c r="E46" s="66">
        <f>'5b'!E46</f>
        <v>353830405.54585594</v>
      </c>
      <c r="F46" s="80">
        <v>79</v>
      </c>
      <c r="G46" s="66">
        <f>IF(F46=0,0,H46/F46)</f>
        <v>6890341.7721518986</v>
      </c>
      <c r="H46" s="66">
        <v>544337000</v>
      </c>
      <c r="I46" s="67">
        <f t="shared" ref="I46:K57" si="7">+F46/C46</f>
        <v>1.462962962962963</v>
      </c>
      <c r="J46" s="67">
        <f t="shared" si="5"/>
        <v>1.051572871817489</v>
      </c>
      <c r="K46" s="67">
        <f t="shared" si="5"/>
        <v>1.5384121643255859</v>
      </c>
    </row>
    <row r="47" spans="1:13" ht="15" x14ac:dyDescent="0.2">
      <c r="A47" s="256"/>
      <c r="B47" s="34" t="s">
        <v>144</v>
      </c>
      <c r="C47" s="80">
        <f>'5b'!C47</f>
        <v>92</v>
      </c>
      <c r="D47" s="66">
        <f t="shared" si="6"/>
        <v>6603642.4030675888</v>
      </c>
      <c r="E47" s="66">
        <f>'5b'!E47</f>
        <v>607535101.08221817</v>
      </c>
      <c r="F47" s="80">
        <v>67</v>
      </c>
      <c r="G47" s="66">
        <f>IF(F47=0,0,H47/F47)</f>
        <v>6864447.7611940298</v>
      </c>
      <c r="H47" s="66">
        <v>459918000</v>
      </c>
      <c r="I47" s="67">
        <f t="shared" si="7"/>
        <v>0.72826086956521741</v>
      </c>
      <c r="J47" s="67">
        <f t="shared" si="5"/>
        <v>1.0394941673409344</v>
      </c>
      <c r="K47" s="67">
        <f t="shared" si="5"/>
        <v>0.75702292621568046</v>
      </c>
    </row>
    <row r="48" spans="1:13" ht="15" x14ac:dyDescent="0.2">
      <c r="A48" s="256"/>
      <c r="B48" s="34" t="s">
        <v>145</v>
      </c>
      <c r="C48" s="80">
        <f>'5b'!C48</f>
        <v>50</v>
      </c>
      <c r="D48" s="66">
        <f t="shared" si="6"/>
        <v>6633820.0491017029</v>
      </c>
      <c r="E48" s="66">
        <f>'5b'!E48</f>
        <v>331691002.45508516</v>
      </c>
      <c r="F48" s="80"/>
      <c r="G48" s="66"/>
      <c r="H48" s="66"/>
      <c r="I48" s="67">
        <f t="shared" si="7"/>
        <v>0</v>
      </c>
      <c r="J48" s="67">
        <f t="shared" si="5"/>
        <v>0</v>
      </c>
      <c r="K48" s="67">
        <f t="shared" si="5"/>
        <v>0</v>
      </c>
    </row>
    <row r="49" spans="1:13" ht="15" x14ac:dyDescent="0.2">
      <c r="A49" s="256"/>
      <c r="B49" s="34" t="s">
        <v>146</v>
      </c>
      <c r="C49" s="80">
        <f>'5b'!C49</f>
        <v>50</v>
      </c>
      <c r="D49" s="66">
        <f t="shared" si="6"/>
        <v>6627015.2857802846</v>
      </c>
      <c r="E49" s="66">
        <f>'5b'!E49</f>
        <v>331350764.28901422</v>
      </c>
      <c r="F49" s="80"/>
      <c r="G49" s="66"/>
      <c r="H49" s="66"/>
      <c r="I49" s="67">
        <f t="shared" si="7"/>
        <v>0</v>
      </c>
      <c r="J49" s="67">
        <f t="shared" si="7"/>
        <v>0</v>
      </c>
      <c r="K49" s="67">
        <f t="shared" si="7"/>
        <v>0</v>
      </c>
    </row>
    <row r="50" spans="1:13" ht="15" x14ac:dyDescent="0.2">
      <c r="A50" s="256"/>
      <c r="B50" s="34" t="s">
        <v>147</v>
      </c>
      <c r="C50" s="80">
        <f>'5b'!C50</f>
        <v>36</v>
      </c>
      <c r="D50" s="66">
        <f t="shared" si="6"/>
        <v>6659526.9327603923</v>
      </c>
      <c r="E50" s="66">
        <f>'5b'!E50</f>
        <v>239742969.57937413</v>
      </c>
      <c r="F50" s="80"/>
      <c r="G50" s="66"/>
      <c r="H50" s="66"/>
      <c r="I50" s="67">
        <f t="shared" si="7"/>
        <v>0</v>
      </c>
      <c r="J50" s="67">
        <f t="shared" si="7"/>
        <v>0</v>
      </c>
      <c r="K50" s="67">
        <f t="shared" si="7"/>
        <v>0</v>
      </c>
    </row>
    <row r="51" spans="1:13" ht="15" x14ac:dyDescent="0.2">
      <c r="A51" s="256"/>
      <c r="B51" s="34" t="s">
        <v>148</v>
      </c>
      <c r="C51" s="80">
        <f>'5b'!C51</f>
        <v>72</v>
      </c>
      <c r="D51" s="66">
        <f t="shared" si="6"/>
        <v>6718181.9481534371</v>
      </c>
      <c r="E51" s="66">
        <f>'5b'!E51</f>
        <v>483709100.26704746</v>
      </c>
      <c r="F51" s="80"/>
      <c r="G51" s="66"/>
      <c r="H51" s="66"/>
      <c r="I51" s="67">
        <f t="shared" si="7"/>
        <v>0</v>
      </c>
      <c r="J51" s="67">
        <f t="shared" si="7"/>
        <v>0</v>
      </c>
      <c r="K51" s="67">
        <f t="shared" si="7"/>
        <v>0</v>
      </c>
    </row>
    <row r="52" spans="1:13" ht="15" x14ac:dyDescent="0.2">
      <c r="A52" s="256"/>
      <c r="B52" s="34" t="s">
        <v>149</v>
      </c>
      <c r="C52" s="80">
        <f>'5b'!C52</f>
        <v>47</v>
      </c>
      <c r="D52" s="66">
        <f t="shared" si="6"/>
        <v>6751562.2515491815</v>
      </c>
      <c r="E52" s="66">
        <f>'5b'!E52</f>
        <v>317323425.82281154</v>
      </c>
      <c r="F52" s="80"/>
      <c r="G52" s="66"/>
      <c r="H52" s="66"/>
      <c r="I52" s="67">
        <f t="shared" si="7"/>
        <v>0</v>
      </c>
      <c r="J52" s="67">
        <f t="shared" si="7"/>
        <v>0</v>
      </c>
      <c r="K52" s="67">
        <f t="shared" si="7"/>
        <v>0</v>
      </c>
    </row>
    <row r="53" spans="1:13" ht="15" x14ac:dyDescent="0.2">
      <c r="A53" s="256"/>
      <c r="B53" s="34" t="s">
        <v>150</v>
      </c>
      <c r="C53" s="80">
        <f>'5b'!C53</f>
        <v>103</v>
      </c>
      <c r="D53" s="66">
        <f t="shared" si="6"/>
        <v>6771887.7128121965</v>
      </c>
      <c r="E53" s="66">
        <f>'5b'!E53</f>
        <v>697504434.41965628</v>
      </c>
      <c r="F53" s="80"/>
      <c r="G53" s="66"/>
      <c r="H53" s="66"/>
      <c r="I53" s="67">
        <f t="shared" si="7"/>
        <v>0</v>
      </c>
      <c r="J53" s="67">
        <f t="shared" si="7"/>
        <v>0</v>
      </c>
      <c r="K53" s="67">
        <f t="shared" si="7"/>
        <v>0</v>
      </c>
    </row>
    <row r="54" spans="1:13" ht="15" x14ac:dyDescent="0.2">
      <c r="A54" s="256"/>
      <c r="B54" s="34" t="s">
        <v>151</v>
      </c>
      <c r="C54" s="80">
        <f>'5b'!C54</f>
        <v>79</v>
      </c>
      <c r="D54" s="66">
        <f t="shared" si="6"/>
        <v>6783393.3528411845</v>
      </c>
      <c r="E54" s="66">
        <f>'5b'!E54</f>
        <v>535888074.87445354</v>
      </c>
      <c r="F54" s="80"/>
      <c r="G54" s="66"/>
      <c r="H54" s="66"/>
      <c r="I54" s="67">
        <f t="shared" si="7"/>
        <v>0</v>
      </c>
      <c r="J54" s="67">
        <f t="shared" si="7"/>
        <v>0</v>
      </c>
      <c r="K54" s="67">
        <f t="shared" si="7"/>
        <v>0</v>
      </c>
    </row>
    <row r="55" spans="1:13" ht="15" x14ac:dyDescent="0.2">
      <c r="A55" s="256"/>
      <c r="B55" s="34" t="s">
        <v>152</v>
      </c>
      <c r="C55" s="80">
        <f>'5b'!C55</f>
        <v>48</v>
      </c>
      <c r="D55" s="66">
        <f t="shared" si="6"/>
        <v>6803119.5907477336</v>
      </c>
      <c r="E55" s="66">
        <f>'5b'!E55</f>
        <v>326549740.35589123</v>
      </c>
      <c r="F55" s="80"/>
      <c r="G55" s="66"/>
      <c r="H55" s="66"/>
      <c r="I55" s="67">
        <f t="shared" si="7"/>
        <v>0</v>
      </c>
      <c r="J55" s="67">
        <f t="shared" si="7"/>
        <v>0</v>
      </c>
      <c r="K55" s="67">
        <f t="shared" si="7"/>
        <v>0</v>
      </c>
    </row>
    <row r="56" spans="1:13" ht="15" x14ac:dyDescent="0.2">
      <c r="A56" s="256"/>
      <c r="B56" s="34" t="s">
        <v>153</v>
      </c>
      <c r="C56" s="80">
        <f>'5b'!C56</f>
        <v>47</v>
      </c>
      <c r="D56" s="66">
        <f t="shared" si="6"/>
        <v>6814176.7116404558</v>
      </c>
      <c r="E56" s="66">
        <f>'5b'!E56</f>
        <v>320266305.44710141</v>
      </c>
      <c r="F56" s="80"/>
      <c r="G56" s="66"/>
      <c r="H56" s="66"/>
      <c r="I56" s="67">
        <f t="shared" si="7"/>
        <v>0</v>
      </c>
      <c r="J56" s="67">
        <f t="shared" si="7"/>
        <v>0</v>
      </c>
      <c r="K56" s="67">
        <f t="shared" si="7"/>
        <v>0</v>
      </c>
    </row>
    <row r="57" spans="1:13" s="37" customFormat="1" ht="15.75" x14ac:dyDescent="0.2">
      <c r="A57" s="254" t="s">
        <v>158</v>
      </c>
      <c r="B57" s="255"/>
      <c r="C57" s="79">
        <f>SUM(C45:C56)</f>
        <v>741</v>
      </c>
      <c r="D57" s="45">
        <f>IF(C57=0,0,E57/C57)</f>
        <v>6687928.5970560052</v>
      </c>
      <c r="E57" s="45">
        <f>SUM(E45:E56)</f>
        <v>4955755090.4184999</v>
      </c>
      <c r="F57" s="79">
        <f>SUM(F45:F56)</f>
        <v>216</v>
      </c>
      <c r="G57" s="45">
        <f>IF(F57=0,0,H57/F57)</f>
        <v>6872092.5925925924</v>
      </c>
      <c r="H57" s="45">
        <f>SUM(H45:H56)</f>
        <v>1484372000</v>
      </c>
      <c r="I57" s="68">
        <f t="shared" si="7"/>
        <v>0.291497975708502</v>
      </c>
      <c r="J57" s="69">
        <f t="shared" si="7"/>
        <v>1.0275367765764807</v>
      </c>
      <c r="K57" s="69">
        <f t="shared" si="7"/>
        <v>0.29952489033808344</v>
      </c>
      <c r="L57" s="81"/>
      <c r="M57" s="81"/>
    </row>
    <row r="58" spans="1:13" s="37" customFormat="1" ht="15.75" customHeight="1" x14ac:dyDescent="0.2">
      <c r="A58" s="254" t="s">
        <v>96</v>
      </c>
      <c r="B58" s="255"/>
      <c r="C58" s="78">
        <f>C18+C31+C44+C57</f>
        <v>8417</v>
      </c>
      <c r="D58" s="45">
        <f>IF(C58=0,0,E58/C58)</f>
        <v>9906538.2462622859</v>
      </c>
      <c r="E58" s="45">
        <f>E18+E31+E44+E57</f>
        <v>83383332418.789658</v>
      </c>
      <c r="F58" s="78">
        <f>F18+F31+F44+F57</f>
        <v>3413</v>
      </c>
      <c r="G58" s="45">
        <f>IF(F58=0,0,H58/F58)</f>
        <v>9524128.4555552285</v>
      </c>
      <c r="H58" s="45">
        <f>H18+H31+H44+H57</f>
        <v>32505850418.809998</v>
      </c>
      <c r="I58" s="73">
        <f>+F58/C58</f>
        <v>0.40548889152904838</v>
      </c>
      <c r="J58" s="69">
        <f>+G58/D58</f>
        <v>0.96139824213051017</v>
      </c>
      <c r="K58" s="74">
        <f>+H58/E58</f>
        <v>0.38983630751947623</v>
      </c>
      <c r="L58" s="81"/>
      <c r="M58" s="81"/>
    </row>
    <row r="59" spans="1:13" x14ac:dyDescent="0.2">
      <c r="A59" s="38"/>
      <c r="B59" s="38"/>
      <c r="C59" s="60"/>
      <c r="D59" s="39"/>
      <c r="E59" s="56"/>
      <c r="F59" s="60"/>
      <c r="G59" s="39"/>
      <c r="H59" s="56"/>
      <c r="I59" s="38"/>
      <c r="J59" s="38"/>
      <c r="K59" s="38"/>
    </row>
    <row r="60" spans="1:13" x14ac:dyDescent="0.2">
      <c r="A60" s="38"/>
      <c r="B60" s="38"/>
      <c r="C60" s="60"/>
      <c r="D60" s="39"/>
      <c r="E60" s="38"/>
      <c r="F60" s="60"/>
      <c r="G60" s="39"/>
      <c r="H60" s="56"/>
      <c r="I60" s="38"/>
      <c r="J60" s="38"/>
      <c r="K60" s="38"/>
    </row>
    <row r="61" spans="1:13" x14ac:dyDescent="0.2">
      <c r="A61" s="38"/>
      <c r="B61" s="38"/>
      <c r="C61" s="60"/>
      <c r="D61" s="39"/>
      <c r="E61" s="38"/>
      <c r="F61" s="83"/>
      <c r="G61" s="39"/>
      <c r="H61" s="84"/>
      <c r="I61" s="38"/>
      <c r="J61" s="38"/>
      <c r="K61" s="38"/>
    </row>
    <row r="62" spans="1:13" x14ac:dyDescent="0.2">
      <c r="A62" s="38"/>
      <c r="B62" s="38"/>
      <c r="C62" s="60"/>
      <c r="D62" s="39"/>
      <c r="E62" s="38"/>
      <c r="F62" s="39"/>
      <c r="G62" s="39"/>
      <c r="H62" s="38"/>
      <c r="I62" s="38"/>
      <c r="J62" s="38"/>
      <c r="K62" s="38"/>
    </row>
    <row r="63" spans="1:13" x14ac:dyDescent="0.2">
      <c r="A63" s="38"/>
      <c r="B63" s="38"/>
      <c r="C63" s="60"/>
      <c r="D63" s="39"/>
      <c r="E63" s="38"/>
      <c r="F63" s="39"/>
      <c r="G63" s="39"/>
      <c r="H63" s="38"/>
      <c r="I63" s="38"/>
      <c r="J63" s="38"/>
      <c r="K63" s="38"/>
    </row>
    <row r="64" spans="1:13" x14ac:dyDescent="0.2">
      <c r="A64" s="38"/>
      <c r="B64" s="38"/>
      <c r="C64" s="39"/>
      <c r="D64" s="39"/>
      <c r="E64" s="38"/>
      <c r="F64" s="39"/>
      <c r="G64" s="39"/>
      <c r="H64" s="38"/>
      <c r="I64" s="38"/>
      <c r="J64" s="38"/>
      <c r="K64" s="38"/>
    </row>
    <row r="65" spans="1:11" x14ac:dyDescent="0.2">
      <c r="A65" s="38"/>
      <c r="B65" s="38"/>
      <c r="C65" s="39"/>
      <c r="D65" s="39"/>
      <c r="E65" s="38"/>
      <c r="F65" s="39"/>
      <c r="G65" s="39"/>
      <c r="H65" s="38"/>
      <c r="I65" s="38"/>
      <c r="J65" s="38"/>
      <c r="K65" s="38"/>
    </row>
    <row r="66" spans="1:11" x14ac:dyDescent="0.2">
      <c r="A66" s="38"/>
      <c r="B66" s="38"/>
      <c r="C66" s="39"/>
      <c r="D66" s="39"/>
      <c r="E66" s="38"/>
      <c r="F66" s="39"/>
      <c r="G66" s="39"/>
      <c r="H66" s="38"/>
      <c r="I66" s="38"/>
      <c r="J66" s="38"/>
      <c r="K66" s="38"/>
    </row>
    <row r="67" spans="1:11" x14ac:dyDescent="0.2">
      <c r="A67" s="38"/>
      <c r="B67" s="38"/>
      <c r="C67" s="39"/>
      <c r="D67" s="39"/>
      <c r="E67" s="38"/>
      <c r="F67" s="39"/>
      <c r="G67" s="39"/>
      <c r="H67" s="38"/>
      <c r="I67" s="38"/>
      <c r="J67" s="38"/>
      <c r="K67" s="38"/>
    </row>
    <row r="68" spans="1:11" x14ac:dyDescent="0.2">
      <c r="A68" s="38"/>
      <c r="B68" s="38"/>
      <c r="C68" s="39"/>
      <c r="D68" s="39"/>
      <c r="E68" s="38"/>
      <c r="F68" s="39"/>
      <c r="G68" s="39"/>
      <c r="H68" s="38"/>
      <c r="I68" s="38"/>
      <c r="J68" s="38"/>
      <c r="K68" s="38"/>
    </row>
    <row r="69" spans="1:11" x14ac:dyDescent="0.2">
      <c r="A69" s="38"/>
      <c r="B69" s="38"/>
      <c r="C69" s="39"/>
      <c r="D69" s="39"/>
      <c r="E69" s="38"/>
      <c r="F69" s="39"/>
      <c r="G69" s="39"/>
      <c r="H69" s="38"/>
      <c r="I69" s="38"/>
      <c r="J69" s="38"/>
      <c r="K69" s="38"/>
    </row>
    <row r="70" spans="1:11" x14ac:dyDescent="0.2">
      <c r="A70" s="38"/>
      <c r="B70" s="38"/>
      <c r="C70" s="39"/>
      <c r="D70" s="39"/>
      <c r="E70" s="38"/>
      <c r="F70" s="39"/>
      <c r="G70" s="39"/>
      <c r="H70" s="38"/>
      <c r="I70" s="38"/>
      <c r="J70" s="38"/>
      <c r="K70" s="38"/>
    </row>
    <row r="71" spans="1:11" x14ac:dyDescent="0.2">
      <c r="A71" s="38"/>
      <c r="B71" s="38"/>
      <c r="C71" s="39"/>
      <c r="D71" s="39"/>
      <c r="E71" s="38"/>
      <c r="F71" s="39"/>
      <c r="G71" s="39"/>
      <c r="H71" s="38"/>
      <c r="I71" s="38"/>
      <c r="J71" s="38"/>
      <c r="K71" s="38"/>
    </row>
    <row r="72" spans="1:11" x14ac:dyDescent="0.2">
      <c r="A72" s="38"/>
      <c r="B72" s="38"/>
      <c r="C72" s="39"/>
      <c r="D72" s="39"/>
      <c r="E72" s="38"/>
      <c r="F72" s="39"/>
      <c r="G72" s="39"/>
      <c r="H72" s="38"/>
      <c r="I72" s="38"/>
      <c r="J72" s="38"/>
      <c r="K72" s="38"/>
    </row>
    <row r="73" spans="1:11" x14ac:dyDescent="0.2">
      <c r="A73" s="38"/>
      <c r="B73" s="38"/>
      <c r="C73" s="39"/>
      <c r="D73" s="39"/>
      <c r="E73" s="38"/>
      <c r="F73" s="39"/>
      <c r="G73" s="39"/>
      <c r="H73" s="38"/>
      <c r="I73" s="38"/>
      <c r="J73" s="38"/>
      <c r="K73" s="38"/>
    </row>
    <row r="74" spans="1:11" x14ac:dyDescent="0.2">
      <c r="A74" s="38"/>
      <c r="B74" s="38"/>
      <c r="C74" s="39"/>
      <c r="D74" s="39"/>
      <c r="E74" s="38"/>
      <c r="F74" s="39"/>
      <c r="G74" s="39"/>
      <c r="H74" s="38"/>
      <c r="I74" s="38"/>
      <c r="J74" s="38"/>
      <c r="K74" s="38"/>
    </row>
    <row r="75" spans="1:11" x14ac:dyDescent="0.2">
      <c r="A75" s="38"/>
      <c r="B75" s="38"/>
      <c r="C75" s="39"/>
      <c r="D75" s="39"/>
      <c r="E75" s="38"/>
      <c r="F75" s="39"/>
      <c r="G75" s="39"/>
      <c r="H75" s="38"/>
      <c r="I75" s="38"/>
      <c r="J75" s="38"/>
      <c r="K75" s="38"/>
    </row>
    <row r="76" spans="1:11" x14ac:dyDescent="0.2">
      <c r="A76" s="38"/>
      <c r="B76" s="38"/>
      <c r="C76" s="39"/>
      <c r="D76" s="39"/>
      <c r="E76" s="38"/>
      <c r="F76" s="39"/>
      <c r="G76" s="39"/>
      <c r="H76" s="38"/>
      <c r="I76" s="38"/>
      <c r="J76" s="38"/>
      <c r="K76" s="38"/>
    </row>
    <row r="77" spans="1:11" x14ac:dyDescent="0.2">
      <c r="A77" s="38"/>
      <c r="B77" s="38"/>
      <c r="C77" s="39"/>
      <c r="D77" s="39"/>
      <c r="E77" s="38"/>
      <c r="F77" s="39"/>
      <c r="G77" s="39"/>
      <c r="H77" s="38"/>
      <c r="I77" s="38"/>
      <c r="J77" s="38"/>
      <c r="K77" s="38"/>
    </row>
    <row r="78" spans="1:11" x14ac:dyDescent="0.2">
      <c r="A78" s="38"/>
      <c r="B78" s="38"/>
      <c r="C78" s="39"/>
      <c r="D78" s="39"/>
      <c r="E78" s="38"/>
      <c r="F78" s="39"/>
      <c r="G78" s="39"/>
      <c r="H78" s="38"/>
      <c r="I78" s="38"/>
      <c r="J78" s="38"/>
      <c r="K78" s="38"/>
    </row>
    <row r="79" spans="1:11" x14ac:dyDescent="0.2">
      <c r="A79" s="38"/>
      <c r="B79" s="38"/>
      <c r="C79" s="39"/>
      <c r="D79" s="39"/>
      <c r="E79" s="38"/>
      <c r="F79" s="39"/>
      <c r="G79" s="39"/>
      <c r="H79" s="38"/>
      <c r="I79" s="38"/>
      <c r="J79" s="38"/>
      <c r="K79" s="38"/>
    </row>
    <row r="80" spans="1:11" x14ac:dyDescent="0.2">
      <c r="A80" s="38"/>
      <c r="B80" s="38"/>
      <c r="C80" s="39"/>
      <c r="D80" s="39"/>
      <c r="E80" s="38"/>
      <c r="F80" s="39"/>
      <c r="G80" s="39"/>
      <c r="H80" s="38"/>
      <c r="I80" s="38"/>
      <c r="J80" s="38"/>
      <c r="K80" s="38"/>
    </row>
    <row r="81" spans="1:11" x14ac:dyDescent="0.2">
      <c r="A81" s="38"/>
      <c r="B81" s="38"/>
      <c r="C81" s="39"/>
      <c r="D81" s="39"/>
      <c r="E81" s="38"/>
      <c r="F81" s="39"/>
      <c r="G81" s="39"/>
      <c r="H81" s="38"/>
      <c r="I81" s="38"/>
      <c r="J81" s="38"/>
      <c r="K81" s="38"/>
    </row>
    <row r="82" spans="1:11" x14ac:dyDescent="0.2">
      <c r="A82" s="38"/>
      <c r="B82" s="38"/>
      <c r="C82" s="39"/>
      <c r="D82" s="39"/>
      <c r="E82" s="38"/>
      <c r="F82" s="39"/>
      <c r="G82" s="39"/>
      <c r="H82" s="38"/>
      <c r="I82" s="38"/>
      <c r="J82" s="38"/>
      <c r="K82" s="38"/>
    </row>
    <row r="83" spans="1:11" x14ac:dyDescent="0.2">
      <c r="A83" s="38"/>
      <c r="B83" s="38"/>
      <c r="C83" s="39"/>
      <c r="D83" s="39"/>
      <c r="E83" s="38"/>
      <c r="F83" s="39"/>
      <c r="G83" s="39"/>
      <c r="H83" s="38"/>
      <c r="I83" s="38"/>
      <c r="J83" s="38"/>
      <c r="K83" s="38"/>
    </row>
    <row r="84" spans="1:11" x14ac:dyDescent="0.2">
      <c r="A84" s="38"/>
      <c r="B84" s="38"/>
      <c r="C84" s="39"/>
      <c r="D84" s="39"/>
      <c r="E84" s="38"/>
      <c r="F84" s="39"/>
      <c r="G84" s="39"/>
      <c r="H84" s="38"/>
      <c r="I84" s="38"/>
      <c r="J84" s="38"/>
      <c r="K84" s="38"/>
    </row>
    <row r="85" spans="1:11" x14ac:dyDescent="0.2">
      <c r="A85" s="38"/>
      <c r="B85" s="38"/>
      <c r="C85" s="39"/>
      <c r="D85" s="39"/>
      <c r="E85" s="38"/>
      <c r="F85" s="39"/>
      <c r="G85" s="39"/>
      <c r="H85" s="38"/>
      <c r="I85" s="38"/>
      <c r="J85" s="38"/>
      <c r="K85" s="38"/>
    </row>
    <row r="86" spans="1:11" x14ac:dyDescent="0.2">
      <c r="A86" s="38"/>
      <c r="B86" s="38"/>
      <c r="C86" s="39"/>
      <c r="D86" s="39"/>
      <c r="E86" s="38"/>
      <c r="F86" s="39"/>
      <c r="G86" s="39"/>
      <c r="H86" s="38"/>
      <c r="I86" s="38"/>
      <c r="J86" s="38"/>
      <c r="K86" s="38"/>
    </row>
    <row r="87" spans="1:11" x14ac:dyDescent="0.2">
      <c r="A87" s="38"/>
      <c r="B87" s="38"/>
      <c r="C87" s="39"/>
      <c r="D87" s="39"/>
      <c r="E87" s="38"/>
      <c r="F87" s="39"/>
      <c r="G87" s="39"/>
      <c r="H87" s="38"/>
      <c r="I87" s="38"/>
      <c r="J87" s="38"/>
      <c r="K87" s="38"/>
    </row>
    <row r="88" spans="1:11" x14ac:dyDescent="0.2">
      <c r="A88" s="38"/>
      <c r="B88" s="38"/>
      <c r="C88" s="39"/>
      <c r="D88" s="39"/>
      <c r="E88" s="38"/>
      <c r="F88" s="39"/>
      <c r="G88" s="39"/>
      <c r="H88" s="38"/>
      <c r="I88" s="38"/>
      <c r="J88" s="38"/>
      <c r="K88" s="38"/>
    </row>
    <row r="89" spans="1:11" x14ac:dyDescent="0.2">
      <c r="A89" s="38"/>
      <c r="B89" s="38"/>
      <c r="C89" s="39"/>
      <c r="D89" s="39"/>
      <c r="E89" s="38"/>
      <c r="F89" s="39"/>
      <c r="G89" s="39"/>
      <c r="H89" s="38"/>
      <c r="I89" s="38"/>
      <c r="J89" s="38"/>
      <c r="K89" s="38"/>
    </row>
    <row r="90" spans="1:11" x14ac:dyDescent="0.2">
      <c r="A90" s="38"/>
      <c r="B90" s="38"/>
      <c r="C90" s="39"/>
      <c r="D90" s="39"/>
      <c r="E90" s="38"/>
      <c r="F90" s="39"/>
      <c r="G90" s="39"/>
      <c r="H90" s="38"/>
      <c r="I90" s="38"/>
      <c r="J90" s="38"/>
      <c r="K90" s="38"/>
    </row>
    <row r="91" spans="1:11" x14ac:dyDescent="0.2">
      <c r="A91" s="38"/>
      <c r="B91" s="38"/>
      <c r="C91" s="39"/>
      <c r="D91" s="39"/>
      <c r="E91" s="38"/>
      <c r="F91" s="39"/>
      <c r="G91" s="39"/>
      <c r="H91" s="38"/>
      <c r="I91" s="38"/>
      <c r="J91" s="38"/>
      <c r="K91" s="38"/>
    </row>
    <row r="92" spans="1:11" x14ac:dyDescent="0.2">
      <c r="A92" s="38"/>
      <c r="B92" s="38"/>
      <c r="C92" s="39"/>
      <c r="D92" s="39"/>
      <c r="E92" s="38"/>
      <c r="F92" s="39"/>
      <c r="G92" s="39"/>
      <c r="H92" s="38"/>
      <c r="I92" s="38"/>
      <c r="J92" s="38"/>
      <c r="K92" s="38"/>
    </row>
    <row r="93" spans="1:11" x14ac:dyDescent="0.2">
      <c r="A93" s="38"/>
      <c r="B93" s="38"/>
      <c r="C93" s="39"/>
      <c r="D93" s="39"/>
      <c r="E93" s="38"/>
      <c r="F93" s="39"/>
      <c r="G93" s="39"/>
      <c r="H93" s="38"/>
      <c r="I93" s="38"/>
      <c r="J93" s="38"/>
      <c r="K93" s="38"/>
    </row>
    <row r="94" spans="1:11" x14ac:dyDescent="0.2">
      <c r="A94" s="38"/>
      <c r="B94" s="38"/>
      <c r="C94" s="39"/>
      <c r="D94" s="39"/>
      <c r="E94" s="38"/>
      <c r="F94" s="39"/>
      <c r="G94" s="39"/>
      <c r="H94" s="38"/>
      <c r="I94" s="38"/>
      <c r="J94" s="38"/>
      <c r="K94" s="38"/>
    </row>
    <row r="95" spans="1:11" x14ac:dyDescent="0.2">
      <c r="A95" s="38"/>
      <c r="B95" s="38"/>
      <c r="C95" s="39"/>
      <c r="D95" s="39"/>
      <c r="E95" s="38"/>
      <c r="F95" s="39"/>
      <c r="G95" s="39"/>
      <c r="H95" s="38"/>
      <c r="I95" s="38"/>
      <c r="J95" s="38"/>
      <c r="K95" s="38"/>
    </row>
    <row r="96" spans="1:11" x14ac:dyDescent="0.2">
      <c r="A96" s="38"/>
      <c r="B96" s="38"/>
      <c r="C96" s="39"/>
      <c r="D96" s="39"/>
      <c r="E96" s="38"/>
      <c r="F96" s="39"/>
      <c r="G96" s="39"/>
      <c r="H96" s="38"/>
      <c r="I96" s="38"/>
      <c r="J96" s="38"/>
      <c r="K96" s="38"/>
    </row>
    <row r="97" spans="1:11" x14ac:dyDescent="0.2">
      <c r="A97" s="38"/>
      <c r="B97" s="38"/>
      <c r="C97" s="39"/>
      <c r="D97" s="39"/>
      <c r="E97" s="38"/>
      <c r="F97" s="39"/>
      <c r="G97" s="39"/>
      <c r="H97" s="38"/>
      <c r="I97" s="38"/>
      <c r="J97" s="38"/>
      <c r="K97" s="38"/>
    </row>
    <row r="98" spans="1:11" x14ac:dyDescent="0.2">
      <c r="A98" s="38"/>
      <c r="B98" s="38"/>
      <c r="C98" s="39"/>
      <c r="D98" s="39"/>
      <c r="E98" s="38"/>
      <c r="F98" s="39"/>
      <c r="G98" s="39"/>
      <c r="H98" s="38"/>
      <c r="I98" s="38"/>
      <c r="J98" s="38"/>
      <c r="K98" s="38"/>
    </row>
    <row r="99" spans="1:11" x14ac:dyDescent="0.2">
      <c r="A99" s="38"/>
      <c r="B99" s="38"/>
      <c r="C99" s="39"/>
      <c r="D99" s="39"/>
      <c r="E99" s="38"/>
      <c r="F99" s="39"/>
      <c r="G99" s="39"/>
      <c r="H99" s="38"/>
      <c r="I99" s="38"/>
      <c r="J99" s="38"/>
      <c r="K99" s="38"/>
    </row>
    <row r="100" spans="1:11" x14ac:dyDescent="0.2">
      <c r="A100" s="38"/>
      <c r="B100" s="38"/>
      <c r="C100" s="39"/>
      <c r="D100" s="39"/>
      <c r="E100" s="38"/>
      <c r="F100" s="39"/>
      <c r="G100" s="39"/>
      <c r="H100" s="38"/>
      <c r="I100" s="38"/>
      <c r="J100" s="38"/>
      <c r="K100" s="38"/>
    </row>
    <row r="101" spans="1:11" x14ac:dyDescent="0.2">
      <c r="A101" s="38"/>
      <c r="B101" s="38"/>
      <c r="C101" s="39"/>
      <c r="D101" s="39"/>
      <c r="E101" s="38"/>
      <c r="F101" s="39"/>
      <c r="G101" s="39"/>
      <c r="H101" s="38"/>
      <c r="I101" s="38"/>
      <c r="J101" s="38"/>
      <c r="K101" s="38"/>
    </row>
    <row r="102" spans="1:11" x14ac:dyDescent="0.2">
      <c r="A102" s="38"/>
      <c r="B102" s="38"/>
      <c r="C102" s="39"/>
      <c r="D102" s="39"/>
      <c r="E102" s="38"/>
      <c r="F102" s="39"/>
      <c r="G102" s="39"/>
      <c r="H102" s="38"/>
      <c r="I102" s="38"/>
      <c r="J102" s="38"/>
      <c r="K102" s="38"/>
    </row>
    <row r="103" spans="1:11" x14ac:dyDescent="0.2">
      <c r="A103" s="38"/>
      <c r="B103" s="38"/>
      <c r="C103" s="39"/>
      <c r="D103" s="39"/>
      <c r="E103" s="38"/>
      <c r="F103" s="39"/>
      <c r="G103" s="39"/>
      <c r="H103" s="38"/>
      <c r="I103" s="38"/>
      <c r="J103" s="38"/>
      <c r="K103" s="38"/>
    </row>
    <row r="104" spans="1:11" x14ac:dyDescent="0.2">
      <c r="A104" s="38"/>
      <c r="B104" s="38"/>
      <c r="C104" s="39"/>
      <c r="D104" s="39"/>
      <c r="E104" s="38"/>
      <c r="F104" s="39"/>
      <c r="G104" s="39"/>
      <c r="H104" s="38"/>
      <c r="I104" s="38"/>
      <c r="J104" s="38"/>
      <c r="K104" s="38"/>
    </row>
    <row r="105" spans="1:11" x14ac:dyDescent="0.2">
      <c r="A105" s="38"/>
      <c r="B105" s="38"/>
      <c r="C105" s="39"/>
      <c r="D105" s="39"/>
      <c r="E105" s="38"/>
      <c r="F105" s="39"/>
      <c r="G105" s="39"/>
      <c r="H105" s="38"/>
      <c r="I105" s="38"/>
      <c r="J105" s="38"/>
      <c r="K105" s="38"/>
    </row>
    <row r="106" spans="1:11" x14ac:dyDescent="0.2">
      <c r="A106" s="38"/>
      <c r="B106" s="38"/>
      <c r="C106" s="39"/>
      <c r="D106" s="39"/>
      <c r="E106" s="38"/>
      <c r="F106" s="39"/>
      <c r="G106" s="39"/>
      <c r="H106" s="38"/>
      <c r="I106" s="38"/>
      <c r="J106" s="38"/>
      <c r="K106" s="38"/>
    </row>
    <row r="107" spans="1:11" x14ac:dyDescent="0.2">
      <c r="A107" s="38"/>
      <c r="B107" s="38"/>
      <c r="C107" s="39"/>
      <c r="D107" s="39"/>
      <c r="E107" s="38"/>
      <c r="F107" s="39"/>
      <c r="G107" s="39"/>
      <c r="H107" s="38"/>
      <c r="I107" s="38"/>
      <c r="J107" s="38"/>
      <c r="K107" s="38"/>
    </row>
    <row r="108" spans="1:11" x14ac:dyDescent="0.2">
      <c r="A108" s="38"/>
      <c r="B108" s="38"/>
      <c r="C108" s="39"/>
      <c r="D108" s="39"/>
      <c r="E108" s="38"/>
      <c r="F108" s="39"/>
      <c r="G108" s="39"/>
      <c r="H108" s="38"/>
      <c r="I108" s="38"/>
      <c r="J108" s="38"/>
      <c r="K108" s="38"/>
    </row>
    <row r="109" spans="1:11" x14ac:dyDescent="0.2">
      <c r="A109" s="38"/>
      <c r="B109" s="38"/>
      <c r="C109" s="39"/>
      <c r="D109" s="39"/>
      <c r="E109" s="38"/>
      <c r="F109" s="39"/>
      <c r="G109" s="39"/>
      <c r="H109" s="38"/>
      <c r="I109" s="38"/>
      <c r="J109" s="38"/>
      <c r="K109" s="38"/>
    </row>
    <row r="110" spans="1:11" x14ac:dyDescent="0.2">
      <c r="A110" s="38"/>
      <c r="B110" s="38"/>
      <c r="C110" s="39"/>
      <c r="D110" s="39"/>
      <c r="E110" s="38"/>
      <c r="F110" s="39"/>
      <c r="G110" s="39"/>
      <c r="H110" s="38"/>
      <c r="I110" s="38"/>
      <c r="J110" s="38"/>
      <c r="K110" s="38"/>
    </row>
    <row r="111" spans="1:11" x14ac:dyDescent="0.2">
      <c r="A111" s="38"/>
      <c r="B111" s="38"/>
      <c r="C111" s="39"/>
      <c r="D111" s="39"/>
      <c r="E111" s="38"/>
      <c r="F111" s="39"/>
      <c r="G111" s="39"/>
      <c r="H111" s="38"/>
      <c r="I111" s="38"/>
      <c r="J111" s="38"/>
      <c r="K111" s="38"/>
    </row>
    <row r="112" spans="1:11" x14ac:dyDescent="0.2">
      <c r="A112" s="38"/>
      <c r="B112" s="38"/>
      <c r="C112" s="39"/>
      <c r="D112" s="39"/>
      <c r="E112" s="38"/>
      <c r="F112" s="39"/>
      <c r="G112" s="39"/>
      <c r="H112" s="38"/>
      <c r="I112" s="38"/>
      <c r="J112" s="38"/>
      <c r="K112" s="38"/>
    </row>
    <row r="113" spans="1:11" x14ac:dyDescent="0.2">
      <c r="A113" s="38"/>
      <c r="B113" s="38"/>
      <c r="C113" s="39"/>
      <c r="D113" s="39"/>
      <c r="E113" s="38"/>
      <c r="F113" s="39"/>
      <c r="G113" s="39"/>
      <c r="H113" s="38"/>
      <c r="I113" s="38"/>
      <c r="J113" s="38"/>
      <c r="K113" s="38"/>
    </row>
    <row r="114" spans="1:11" x14ac:dyDescent="0.2">
      <c r="A114" s="38"/>
      <c r="B114" s="38"/>
      <c r="C114" s="39"/>
      <c r="D114" s="39"/>
      <c r="E114" s="38"/>
      <c r="F114" s="39"/>
      <c r="G114" s="39"/>
      <c r="H114" s="38"/>
      <c r="I114" s="38"/>
      <c r="J114" s="38"/>
      <c r="K114" s="38"/>
    </row>
    <row r="115" spans="1:11" x14ac:dyDescent="0.2">
      <c r="A115" s="38"/>
      <c r="B115" s="38"/>
      <c r="C115" s="39"/>
      <c r="D115" s="39"/>
      <c r="E115" s="38"/>
      <c r="F115" s="39"/>
      <c r="G115" s="39"/>
      <c r="H115" s="38"/>
      <c r="I115" s="38"/>
      <c r="J115" s="38"/>
      <c r="K115" s="38"/>
    </row>
    <row r="116" spans="1:11" x14ac:dyDescent="0.2">
      <c r="A116" s="38"/>
      <c r="B116" s="38"/>
      <c r="C116" s="39"/>
      <c r="D116" s="39"/>
      <c r="E116" s="38"/>
      <c r="F116" s="39"/>
      <c r="G116" s="39"/>
      <c r="H116" s="38"/>
      <c r="I116" s="38"/>
      <c r="J116" s="38"/>
      <c r="K116" s="38"/>
    </row>
    <row r="117" spans="1:11" x14ac:dyDescent="0.2">
      <c r="A117" s="38"/>
      <c r="B117" s="38"/>
      <c r="C117" s="39"/>
      <c r="D117" s="39"/>
      <c r="E117" s="38"/>
      <c r="F117" s="39"/>
      <c r="G117" s="39"/>
      <c r="H117" s="38"/>
      <c r="I117" s="38"/>
      <c r="J117" s="38"/>
      <c r="K117" s="38"/>
    </row>
    <row r="118" spans="1:11" x14ac:dyDescent="0.2">
      <c r="A118" s="38"/>
      <c r="B118" s="38"/>
      <c r="C118" s="39"/>
      <c r="D118" s="39"/>
      <c r="E118" s="38"/>
      <c r="F118" s="39"/>
      <c r="G118" s="39"/>
      <c r="H118" s="38"/>
      <c r="I118" s="38"/>
      <c r="J118" s="38"/>
      <c r="K118" s="38"/>
    </row>
    <row r="119" spans="1:11" x14ac:dyDescent="0.2">
      <c r="A119" s="38"/>
      <c r="B119" s="38"/>
      <c r="C119" s="39"/>
      <c r="D119" s="39"/>
      <c r="E119" s="38"/>
      <c r="F119" s="39"/>
      <c r="G119" s="39"/>
      <c r="H119" s="38"/>
      <c r="I119" s="38"/>
      <c r="J119" s="38"/>
      <c r="K119" s="38"/>
    </row>
    <row r="120" spans="1:11" x14ac:dyDescent="0.2">
      <c r="A120" s="38"/>
      <c r="B120" s="38"/>
      <c r="C120" s="39"/>
      <c r="D120" s="39"/>
      <c r="E120" s="38"/>
      <c r="F120" s="39"/>
      <c r="G120" s="39"/>
      <c r="H120" s="38"/>
      <c r="I120" s="38"/>
      <c r="J120" s="38"/>
      <c r="K120" s="38"/>
    </row>
    <row r="121" spans="1:11" x14ac:dyDescent="0.2">
      <c r="A121" s="38"/>
      <c r="B121" s="38"/>
      <c r="C121" s="39"/>
      <c r="D121" s="39"/>
      <c r="E121" s="38"/>
      <c r="F121" s="39"/>
      <c r="G121" s="39"/>
      <c r="H121" s="38"/>
      <c r="I121" s="38"/>
      <c r="J121" s="38"/>
      <c r="K121" s="38"/>
    </row>
    <row r="122" spans="1:11" x14ac:dyDescent="0.2">
      <c r="A122" s="38"/>
      <c r="B122" s="38"/>
      <c r="C122" s="39"/>
      <c r="D122" s="39"/>
      <c r="E122" s="38"/>
      <c r="F122" s="39"/>
      <c r="G122" s="39"/>
      <c r="H122" s="38"/>
      <c r="I122" s="38"/>
      <c r="J122" s="38"/>
      <c r="K122" s="38"/>
    </row>
    <row r="123" spans="1:11" x14ac:dyDescent="0.2">
      <c r="A123" s="38"/>
      <c r="B123" s="38"/>
      <c r="C123" s="39"/>
      <c r="D123" s="39"/>
      <c r="E123" s="38"/>
      <c r="F123" s="39"/>
      <c r="G123" s="39"/>
      <c r="H123" s="38"/>
      <c r="I123" s="38"/>
      <c r="J123" s="38"/>
      <c r="K123" s="38"/>
    </row>
    <row r="124" spans="1:11" x14ac:dyDescent="0.2">
      <c r="A124" s="38"/>
      <c r="B124" s="38"/>
      <c r="C124" s="39"/>
      <c r="D124" s="39"/>
      <c r="E124" s="38"/>
      <c r="F124" s="39"/>
      <c r="G124" s="39"/>
      <c r="H124" s="38"/>
      <c r="I124" s="38"/>
      <c r="J124" s="38"/>
      <c r="K124" s="38"/>
    </row>
    <row r="125" spans="1:11" x14ac:dyDescent="0.2">
      <c r="A125" s="38"/>
      <c r="B125" s="38"/>
      <c r="C125" s="39"/>
      <c r="D125" s="39"/>
      <c r="E125" s="38"/>
      <c r="F125" s="39"/>
      <c r="G125" s="39"/>
      <c r="H125" s="38"/>
      <c r="I125" s="38"/>
      <c r="J125" s="38"/>
      <c r="K125" s="38"/>
    </row>
    <row r="126" spans="1:11" x14ac:dyDescent="0.2">
      <c r="A126" s="38"/>
      <c r="B126" s="38"/>
      <c r="C126" s="39"/>
      <c r="D126" s="39"/>
      <c r="E126" s="38"/>
      <c r="F126" s="39"/>
      <c r="G126" s="39"/>
      <c r="H126" s="38"/>
      <c r="I126" s="38"/>
      <c r="J126" s="38"/>
      <c r="K126" s="38"/>
    </row>
    <row r="127" spans="1:11" x14ac:dyDescent="0.2">
      <c r="A127" s="38"/>
      <c r="B127" s="38"/>
      <c r="C127" s="39"/>
      <c r="D127" s="39"/>
      <c r="E127" s="38"/>
      <c r="F127" s="39"/>
      <c r="G127" s="39"/>
      <c r="H127" s="38"/>
      <c r="I127" s="38"/>
      <c r="J127" s="38"/>
      <c r="K127" s="38"/>
    </row>
    <row r="128" spans="1:11" x14ac:dyDescent="0.2">
      <c r="A128" s="38"/>
      <c r="B128" s="38"/>
      <c r="C128" s="39"/>
      <c r="D128" s="39"/>
      <c r="E128" s="38"/>
      <c r="F128" s="39"/>
      <c r="G128" s="39"/>
      <c r="H128" s="38"/>
      <c r="I128" s="38"/>
      <c r="J128" s="38"/>
      <c r="K128" s="38"/>
    </row>
    <row r="129" spans="1:11" x14ac:dyDescent="0.2">
      <c r="A129" s="38"/>
      <c r="B129" s="38"/>
      <c r="C129" s="39"/>
      <c r="D129" s="39"/>
      <c r="E129" s="38"/>
      <c r="F129" s="39"/>
      <c r="G129" s="39"/>
      <c r="H129" s="38"/>
      <c r="I129" s="38"/>
      <c r="J129" s="38"/>
      <c r="K129" s="38"/>
    </row>
    <row r="130" spans="1:11" x14ac:dyDescent="0.2">
      <c r="A130" s="38"/>
      <c r="B130" s="38"/>
      <c r="C130" s="39"/>
      <c r="D130" s="39"/>
      <c r="E130" s="38"/>
      <c r="F130" s="39"/>
      <c r="G130" s="39"/>
      <c r="H130" s="38"/>
      <c r="I130" s="38"/>
      <c r="J130" s="38"/>
      <c r="K130" s="38"/>
    </row>
    <row r="131" spans="1:11" x14ac:dyDescent="0.2">
      <c r="A131" s="38"/>
      <c r="B131" s="38"/>
      <c r="C131" s="39"/>
      <c r="D131" s="39"/>
      <c r="E131" s="38"/>
      <c r="F131" s="39"/>
      <c r="G131" s="39"/>
      <c r="H131" s="38"/>
      <c r="I131" s="38"/>
      <c r="J131" s="38"/>
      <c r="K131" s="38"/>
    </row>
    <row r="132" spans="1:11" x14ac:dyDescent="0.2">
      <c r="A132" s="38"/>
      <c r="B132" s="38"/>
      <c r="C132" s="39"/>
      <c r="D132" s="39"/>
      <c r="E132" s="38"/>
      <c r="F132" s="39"/>
      <c r="G132" s="39"/>
      <c r="H132" s="38"/>
      <c r="I132" s="38"/>
      <c r="J132" s="38"/>
      <c r="K132" s="38"/>
    </row>
    <row r="133" spans="1:11" x14ac:dyDescent="0.2">
      <c r="A133" s="38"/>
      <c r="B133" s="38"/>
      <c r="C133" s="39"/>
      <c r="D133" s="39"/>
      <c r="E133" s="38"/>
      <c r="F133" s="39"/>
      <c r="G133" s="39"/>
      <c r="H133" s="38"/>
      <c r="I133" s="38"/>
      <c r="J133" s="38"/>
      <c r="K133" s="38"/>
    </row>
    <row r="134" spans="1:11" x14ac:dyDescent="0.2">
      <c r="A134" s="38"/>
      <c r="B134" s="38"/>
      <c r="C134" s="39"/>
      <c r="D134" s="39"/>
      <c r="E134" s="38"/>
      <c r="F134" s="39"/>
      <c r="G134" s="39"/>
      <c r="H134" s="38"/>
      <c r="I134" s="38"/>
      <c r="J134" s="38"/>
      <c r="K134" s="38"/>
    </row>
    <row r="135" spans="1:11" x14ac:dyDescent="0.2">
      <c r="A135" s="38"/>
      <c r="B135" s="38"/>
      <c r="C135" s="39"/>
      <c r="D135" s="39"/>
      <c r="E135" s="38"/>
      <c r="F135" s="39"/>
      <c r="G135" s="39"/>
      <c r="H135" s="38"/>
      <c r="I135" s="38"/>
      <c r="J135" s="38"/>
      <c r="K135" s="38"/>
    </row>
    <row r="136" spans="1:11" x14ac:dyDescent="0.2">
      <c r="A136" s="38"/>
      <c r="B136" s="38"/>
      <c r="C136" s="39"/>
      <c r="D136" s="39"/>
      <c r="E136" s="38"/>
      <c r="F136" s="39"/>
      <c r="G136" s="39"/>
      <c r="H136" s="38"/>
      <c r="I136" s="38"/>
      <c r="J136" s="38"/>
      <c r="K136" s="38"/>
    </row>
    <row r="137" spans="1:11" x14ac:dyDescent="0.2">
      <c r="A137" s="38"/>
      <c r="B137" s="38"/>
      <c r="C137" s="39"/>
      <c r="D137" s="39"/>
      <c r="E137" s="38"/>
      <c r="F137" s="39"/>
      <c r="G137" s="39"/>
      <c r="H137" s="38"/>
      <c r="I137" s="38"/>
      <c r="J137" s="38"/>
      <c r="K137" s="38"/>
    </row>
    <row r="138" spans="1:11" x14ac:dyDescent="0.2">
      <c r="A138" s="38"/>
      <c r="B138" s="38"/>
      <c r="C138" s="39"/>
      <c r="D138" s="39"/>
      <c r="E138" s="38"/>
      <c r="F138" s="39"/>
      <c r="G138" s="39"/>
      <c r="H138" s="38"/>
      <c r="I138" s="38"/>
      <c r="J138" s="38"/>
      <c r="K138" s="38"/>
    </row>
    <row r="139" spans="1:11" x14ac:dyDescent="0.2">
      <c r="A139" s="38"/>
      <c r="B139" s="38"/>
      <c r="C139" s="39"/>
      <c r="D139" s="39"/>
      <c r="E139" s="38"/>
      <c r="F139" s="39"/>
      <c r="G139" s="39"/>
      <c r="H139" s="38"/>
      <c r="I139" s="38"/>
      <c r="J139" s="38"/>
      <c r="K139" s="38"/>
    </row>
    <row r="140" spans="1:11" x14ac:dyDescent="0.2">
      <c r="A140" s="38"/>
      <c r="B140" s="38"/>
      <c r="C140" s="39"/>
      <c r="D140" s="39"/>
      <c r="E140" s="38"/>
      <c r="F140" s="39"/>
      <c r="G140" s="39"/>
      <c r="H140" s="38"/>
      <c r="I140" s="38"/>
      <c r="J140" s="38"/>
      <c r="K140" s="38"/>
    </row>
    <row r="141" spans="1:11" x14ac:dyDescent="0.2">
      <c r="A141" s="38"/>
      <c r="B141" s="38"/>
      <c r="C141" s="39"/>
      <c r="D141" s="39"/>
      <c r="E141" s="38"/>
      <c r="F141" s="39"/>
      <c r="G141" s="39"/>
      <c r="H141" s="38"/>
      <c r="I141" s="38"/>
      <c r="J141" s="38"/>
      <c r="K141" s="38"/>
    </row>
    <row r="142" spans="1:11" x14ac:dyDescent="0.2">
      <c r="A142" s="38"/>
      <c r="B142" s="38"/>
      <c r="C142" s="39"/>
      <c r="D142" s="39"/>
      <c r="E142" s="38"/>
      <c r="F142" s="39"/>
      <c r="G142" s="39"/>
      <c r="H142" s="38"/>
      <c r="I142" s="38"/>
      <c r="J142" s="38"/>
      <c r="K142" s="38"/>
    </row>
    <row r="143" spans="1:11" x14ac:dyDescent="0.2">
      <c r="A143" s="38"/>
      <c r="B143" s="38"/>
      <c r="C143" s="39"/>
      <c r="D143" s="39"/>
      <c r="E143" s="38"/>
      <c r="F143" s="39"/>
      <c r="G143" s="39"/>
      <c r="H143" s="38"/>
      <c r="I143" s="38"/>
      <c r="J143" s="38"/>
      <c r="K143" s="38"/>
    </row>
    <row r="144" spans="1:11" x14ac:dyDescent="0.2">
      <c r="A144" s="38"/>
      <c r="B144" s="38"/>
      <c r="C144" s="39"/>
      <c r="D144" s="39"/>
      <c r="E144" s="38"/>
      <c r="F144" s="39"/>
      <c r="G144" s="39"/>
      <c r="H144" s="38"/>
      <c r="I144" s="38"/>
      <c r="J144" s="38"/>
      <c r="K144" s="38"/>
    </row>
    <row r="145" spans="1:11" x14ac:dyDescent="0.2">
      <c r="A145" s="38"/>
      <c r="B145" s="38"/>
      <c r="C145" s="39"/>
      <c r="D145" s="39"/>
      <c r="E145" s="38"/>
      <c r="F145" s="39"/>
      <c r="G145" s="39"/>
      <c r="H145" s="38"/>
      <c r="I145" s="38"/>
      <c r="J145" s="38"/>
      <c r="K145" s="38"/>
    </row>
    <row r="146" spans="1:11" x14ac:dyDescent="0.2">
      <c r="A146" s="38"/>
      <c r="B146" s="38"/>
      <c r="C146" s="39"/>
      <c r="D146" s="39"/>
      <c r="E146" s="38"/>
      <c r="F146" s="39"/>
      <c r="G146" s="39"/>
      <c r="H146" s="38"/>
      <c r="I146" s="38"/>
      <c r="J146" s="38"/>
      <c r="K146" s="38"/>
    </row>
    <row r="147" spans="1:11" x14ac:dyDescent="0.2">
      <c r="A147" s="38"/>
      <c r="B147" s="38"/>
      <c r="C147" s="39"/>
      <c r="D147" s="39"/>
      <c r="E147" s="38"/>
      <c r="F147" s="39"/>
      <c r="G147" s="39"/>
      <c r="H147" s="38"/>
      <c r="I147" s="38"/>
      <c r="J147" s="38"/>
      <c r="K147" s="38"/>
    </row>
    <row r="148" spans="1:11" x14ac:dyDescent="0.2">
      <c r="A148" s="38"/>
      <c r="B148" s="38"/>
      <c r="C148" s="39"/>
      <c r="D148" s="39"/>
      <c r="E148" s="38"/>
      <c r="F148" s="39"/>
      <c r="G148" s="39"/>
      <c r="H148" s="38"/>
      <c r="I148" s="38"/>
      <c r="J148" s="38"/>
      <c r="K148" s="38"/>
    </row>
    <row r="149" spans="1:11" x14ac:dyDescent="0.2">
      <c r="A149" s="38"/>
      <c r="B149" s="38"/>
      <c r="C149" s="39"/>
      <c r="D149" s="39"/>
      <c r="E149" s="38"/>
      <c r="F149" s="39"/>
      <c r="G149" s="39"/>
      <c r="H149" s="38"/>
      <c r="I149" s="38"/>
      <c r="J149" s="38"/>
      <c r="K149" s="38"/>
    </row>
    <row r="150" spans="1:11" x14ac:dyDescent="0.2">
      <c r="A150" s="38"/>
      <c r="B150" s="38"/>
      <c r="C150" s="39"/>
      <c r="D150" s="39"/>
      <c r="E150" s="38"/>
      <c r="F150" s="39"/>
      <c r="G150" s="39"/>
      <c r="H150" s="38"/>
      <c r="I150" s="38"/>
      <c r="J150" s="38"/>
      <c r="K150" s="38"/>
    </row>
    <row r="151" spans="1:11" x14ac:dyDescent="0.2">
      <c r="A151" s="38"/>
      <c r="B151" s="38"/>
      <c r="C151" s="39"/>
      <c r="D151" s="39"/>
      <c r="E151" s="38"/>
      <c r="F151" s="39"/>
      <c r="G151" s="39"/>
      <c r="H151" s="38"/>
      <c r="I151" s="38"/>
      <c r="J151" s="38"/>
      <c r="K151" s="38"/>
    </row>
    <row r="152" spans="1:11" x14ac:dyDescent="0.2">
      <c r="A152" s="38"/>
      <c r="B152" s="38"/>
      <c r="C152" s="39"/>
      <c r="D152" s="39"/>
      <c r="E152" s="38"/>
      <c r="F152" s="39"/>
      <c r="G152" s="39"/>
      <c r="H152" s="38"/>
      <c r="I152" s="38"/>
      <c r="J152" s="38"/>
      <c r="K152" s="38"/>
    </row>
    <row r="153" spans="1:11" x14ac:dyDescent="0.2">
      <c r="A153" s="38"/>
      <c r="B153" s="38"/>
      <c r="C153" s="39"/>
      <c r="D153" s="39"/>
      <c r="E153" s="38"/>
      <c r="F153" s="39"/>
      <c r="G153" s="39"/>
      <c r="H153" s="38"/>
      <c r="I153" s="38"/>
      <c r="J153" s="38"/>
      <c r="K153" s="38"/>
    </row>
    <row r="154" spans="1:11" x14ac:dyDescent="0.2">
      <c r="A154" s="38"/>
      <c r="B154" s="38"/>
      <c r="C154" s="39"/>
      <c r="D154" s="39"/>
      <c r="E154" s="38"/>
      <c r="F154" s="39"/>
      <c r="G154" s="39"/>
      <c r="H154" s="38"/>
      <c r="I154" s="38"/>
      <c r="J154" s="38"/>
      <c r="K154" s="38"/>
    </row>
    <row r="155" spans="1:11" x14ac:dyDescent="0.2">
      <c r="A155" s="38"/>
      <c r="B155" s="38"/>
      <c r="C155" s="39"/>
      <c r="D155" s="39"/>
      <c r="E155" s="38"/>
      <c r="F155" s="39"/>
      <c r="G155" s="39"/>
      <c r="H155" s="38"/>
      <c r="I155" s="38"/>
      <c r="J155" s="38"/>
      <c r="K155" s="38"/>
    </row>
    <row r="156" spans="1:11" x14ac:dyDescent="0.2">
      <c r="A156" s="38"/>
      <c r="B156" s="38"/>
      <c r="C156" s="39"/>
      <c r="D156" s="39"/>
      <c r="E156" s="38"/>
      <c r="F156" s="39"/>
      <c r="G156" s="39"/>
      <c r="H156" s="38"/>
      <c r="I156" s="38"/>
      <c r="J156" s="38"/>
      <c r="K156" s="38"/>
    </row>
    <row r="157" spans="1:11" x14ac:dyDescent="0.2">
      <c r="A157" s="38"/>
      <c r="B157" s="38"/>
      <c r="C157" s="39"/>
      <c r="D157" s="39"/>
      <c r="E157" s="38"/>
      <c r="F157" s="39"/>
      <c r="G157" s="39"/>
      <c r="H157" s="38"/>
      <c r="I157" s="38"/>
      <c r="J157" s="38"/>
      <c r="K157" s="38"/>
    </row>
    <row r="158" spans="1:11" x14ac:dyDescent="0.2">
      <c r="A158" s="38"/>
      <c r="B158" s="38"/>
      <c r="C158" s="39"/>
      <c r="D158" s="39"/>
      <c r="E158" s="38"/>
      <c r="F158" s="39"/>
      <c r="G158" s="39"/>
      <c r="H158" s="38"/>
      <c r="I158" s="38"/>
      <c r="J158" s="38"/>
      <c r="K158" s="38"/>
    </row>
    <row r="159" spans="1:11" x14ac:dyDescent="0.2">
      <c r="A159" s="38"/>
      <c r="B159" s="38"/>
      <c r="C159" s="39"/>
      <c r="D159" s="39"/>
      <c r="E159" s="38"/>
      <c r="F159" s="39"/>
      <c r="G159" s="39"/>
      <c r="H159" s="38"/>
      <c r="I159" s="38"/>
      <c r="J159" s="38"/>
      <c r="K159" s="38"/>
    </row>
    <row r="160" spans="1:11" x14ac:dyDescent="0.2">
      <c r="A160" s="38"/>
      <c r="B160" s="38"/>
      <c r="C160" s="39"/>
      <c r="D160" s="39"/>
      <c r="E160" s="38"/>
      <c r="F160" s="39"/>
      <c r="G160" s="39"/>
      <c r="H160" s="38"/>
      <c r="I160" s="38"/>
      <c r="J160" s="38"/>
      <c r="K160" s="38"/>
    </row>
    <row r="161" spans="1:11" x14ac:dyDescent="0.2">
      <c r="A161" s="38"/>
      <c r="B161" s="38"/>
      <c r="C161" s="39"/>
      <c r="D161" s="39"/>
      <c r="E161" s="38"/>
      <c r="F161" s="39"/>
      <c r="G161" s="39"/>
      <c r="H161" s="38"/>
      <c r="I161" s="38"/>
      <c r="J161" s="38"/>
      <c r="K161" s="38"/>
    </row>
    <row r="162" spans="1:11" x14ac:dyDescent="0.2">
      <c r="A162" s="38"/>
      <c r="B162" s="38"/>
      <c r="C162" s="39"/>
      <c r="D162" s="39"/>
      <c r="E162" s="38"/>
      <c r="F162" s="39"/>
      <c r="G162" s="39"/>
      <c r="H162" s="38"/>
      <c r="I162" s="38"/>
      <c r="J162" s="38"/>
      <c r="K162" s="38"/>
    </row>
    <row r="163" spans="1:11" x14ac:dyDescent="0.2">
      <c r="A163" s="38"/>
      <c r="B163" s="38"/>
      <c r="C163" s="39"/>
      <c r="D163" s="39"/>
      <c r="E163" s="38"/>
      <c r="F163" s="39"/>
      <c r="G163" s="39"/>
      <c r="H163" s="38"/>
      <c r="I163" s="38"/>
      <c r="J163" s="38"/>
      <c r="K163" s="38"/>
    </row>
    <row r="164" spans="1:11" x14ac:dyDescent="0.2">
      <c r="A164" s="38"/>
      <c r="B164" s="38"/>
      <c r="C164" s="39"/>
      <c r="D164" s="39"/>
      <c r="E164" s="38"/>
      <c r="F164" s="39"/>
      <c r="G164" s="39"/>
      <c r="H164" s="38"/>
      <c r="I164" s="38"/>
      <c r="J164" s="38"/>
      <c r="K164" s="38"/>
    </row>
    <row r="165" spans="1:11" x14ac:dyDescent="0.2">
      <c r="A165" s="38"/>
      <c r="B165" s="38"/>
      <c r="C165" s="39"/>
      <c r="D165" s="39"/>
      <c r="E165" s="38"/>
      <c r="F165" s="39"/>
      <c r="G165" s="39"/>
      <c r="H165" s="38"/>
      <c r="I165" s="38"/>
      <c r="J165" s="38"/>
      <c r="K165" s="38"/>
    </row>
    <row r="166" spans="1:11" x14ac:dyDescent="0.2">
      <c r="A166" s="38"/>
      <c r="B166" s="38"/>
      <c r="C166" s="39"/>
      <c r="D166" s="39"/>
      <c r="E166" s="38"/>
      <c r="F166" s="39"/>
      <c r="G166" s="39"/>
      <c r="H166" s="38"/>
      <c r="I166" s="38"/>
      <c r="J166" s="38"/>
      <c r="K166" s="38"/>
    </row>
    <row r="167" spans="1:11" x14ac:dyDescent="0.2">
      <c r="A167" s="38"/>
      <c r="B167" s="38"/>
      <c r="C167" s="39"/>
      <c r="D167" s="39"/>
      <c r="E167" s="38"/>
      <c r="F167" s="39"/>
      <c r="G167" s="39"/>
      <c r="H167" s="38"/>
      <c r="I167" s="38"/>
      <c r="J167" s="38"/>
      <c r="K167" s="38"/>
    </row>
    <row r="168" spans="1:11" x14ac:dyDescent="0.2">
      <c r="A168" s="38"/>
      <c r="B168" s="38"/>
      <c r="C168" s="39"/>
      <c r="D168" s="39"/>
      <c r="E168" s="38"/>
      <c r="F168" s="39"/>
      <c r="G168" s="39"/>
      <c r="H168" s="38"/>
      <c r="I168" s="38"/>
      <c r="J168" s="38"/>
      <c r="K168" s="38"/>
    </row>
    <row r="169" spans="1:11" x14ac:dyDescent="0.2">
      <c r="A169" s="38"/>
      <c r="B169" s="38"/>
      <c r="C169" s="39"/>
      <c r="D169" s="39"/>
      <c r="E169" s="38"/>
      <c r="F169" s="39"/>
      <c r="G169" s="39"/>
      <c r="H169" s="38"/>
      <c r="I169" s="38"/>
      <c r="J169" s="38"/>
      <c r="K169" s="38"/>
    </row>
    <row r="170" spans="1:11" x14ac:dyDescent="0.2">
      <c r="A170" s="38"/>
      <c r="B170" s="38"/>
      <c r="C170" s="39"/>
      <c r="D170" s="39"/>
      <c r="E170" s="38"/>
      <c r="F170" s="39"/>
      <c r="G170" s="39"/>
      <c r="H170" s="38"/>
      <c r="I170" s="38"/>
      <c r="J170" s="38"/>
      <c r="K170" s="38"/>
    </row>
    <row r="171" spans="1:11" x14ac:dyDescent="0.2">
      <c r="A171" s="38"/>
      <c r="B171" s="38"/>
      <c r="C171" s="39"/>
      <c r="D171" s="39"/>
      <c r="E171" s="38"/>
      <c r="F171" s="39"/>
      <c r="G171" s="39"/>
      <c r="H171" s="38"/>
      <c r="I171" s="38"/>
      <c r="J171" s="38"/>
      <c r="K171" s="38"/>
    </row>
    <row r="172" spans="1:11" x14ac:dyDescent="0.2">
      <c r="A172" s="38"/>
      <c r="B172" s="38"/>
      <c r="C172" s="39"/>
      <c r="D172" s="39"/>
      <c r="E172" s="38"/>
      <c r="F172" s="39"/>
      <c r="G172" s="39"/>
      <c r="H172" s="38"/>
      <c r="I172" s="38"/>
      <c r="J172" s="38"/>
      <c r="K172" s="38"/>
    </row>
    <row r="173" spans="1:11" x14ac:dyDescent="0.2">
      <c r="A173" s="38"/>
      <c r="B173" s="38"/>
      <c r="C173" s="39"/>
      <c r="D173" s="39"/>
      <c r="E173" s="38"/>
      <c r="F173" s="39"/>
      <c r="G173" s="39"/>
      <c r="H173" s="38"/>
      <c r="I173" s="38"/>
      <c r="J173" s="38"/>
      <c r="K173" s="38"/>
    </row>
    <row r="174" spans="1:11" x14ac:dyDescent="0.2">
      <c r="A174" s="38"/>
      <c r="B174" s="38"/>
      <c r="C174" s="39"/>
      <c r="D174" s="39"/>
      <c r="E174" s="38"/>
      <c r="F174" s="39"/>
      <c r="G174" s="39"/>
      <c r="H174" s="38"/>
      <c r="I174" s="38"/>
      <c r="J174" s="38"/>
      <c r="K174" s="38"/>
    </row>
    <row r="175" spans="1:11" x14ac:dyDescent="0.2">
      <c r="A175" s="38"/>
      <c r="B175" s="38"/>
      <c r="C175" s="39"/>
      <c r="D175" s="39"/>
      <c r="E175" s="38"/>
      <c r="F175" s="39"/>
      <c r="G175" s="39"/>
      <c r="H175" s="38"/>
      <c r="I175" s="38"/>
      <c r="J175" s="38"/>
      <c r="K175" s="38"/>
    </row>
    <row r="176" spans="1:11" x14ac:dyDescent="0.2">
      <c r="A176" s="38"/>
      <c r="B176" s="38"/>
      <c r="C176" s="39"/>
      <c r="D176" s="39"/>
      <c r="E176" s="38"/>
      <c r="F176" s="39"/>
      <c r="G176" s="39"/>
      <c r="H176" s="38"/>
      <c r="I176" s="38"/>
      <c r="J176" s="38"/>
      <c r="K176" s="38"/>
    </row>
    <row r="177" spans="1:11" x14ac:dyDescent="0.2">
      <c r="A177" s="38"/>
      <c r="B177" s="38"/>
      <c r="C177" s="39"/>
      <c r="D177" s="39"/>
      <c r="E177" s="38"/>
      <c r="F177" s="39"/>
      <c r="G177" s="39"/>
      <c r="H177" s="38"/>
      <c r="I177" s="38"/>
      <c r="J177" s="38"/>
      <c r="K177" s="38"/>
    </row>
    <row r="178" spans="1:11" x14ac:dyDescent="0.2">
      <c r="A178" s="38"/>
      <c r="B178" s="38"/>
      <c r="C178" s="39"/>
      <c r="D178" s="39"/>
      <c r="E178" s="38"/>
      <c r="F178" s="39"/>
      <c r="G178" s="39"/>
      <c r="H178" s="38"/>
      <c r="I178" s="38"/>
      <c r="J178" s="38"/>
      <c r="K178" s="38"/>
    </row>
    <row r="179" spans="1:11" x14ac:dyDescent="0.2">
      <c r="A179" s="38"/>
      <c r="B179" s="38"/>
      <c r="C179" s="39"/>
      <c r="D179" s="39"/>
      <c r="E179" s="38"/>
      <c r="F179" s="39"/>
      <c r="G179" s="39"/>
      <c r="H179" s="38"/>
      <c r="I179" s="38"/>
      <c r="J179" s="38"/>
      <c r="K179" s="38"/>
    </row>
    <row r="180" spans="1:11" x14ac:dyDescent="0.2">
      <c r="A180" s="38"/>
      <c r="B180" s="38"/>
      <c r="C180" s="39"/>
      <c r="D180" s="39"/>
      <c r="E180" s="38"/>
      <c r="F180" s="39"/>
      <c r="G180" s="39"/>
      <c r="H180" s="38"/>
      <c r="I180" s="38"/>
      <c r="J180" s="38"/>
      <c r="K180" s="38"/>
    </row>
    <row r="181" spans="1:11" x14ac:dyDescent="0.2">
      <c r="A181" s="38"/>
      <c r="B181" s="38"/>
      <c r="C181" s="39"/>
      <c r="D181" s="39"/>
      <c r="E181" s="38"/>
      <c r="F181" s="39"/>
      <c r="G181" s="39"/>
      <c r="H181" s="38"/>
      <c r="I181" s="38"/>
      <c r="J181" s="38"/>
      <c r="K181" s="38"/>
    </row>
    <row r="182" spans="1:11" x14ac:dyDescent="0.2">
      <c r="A182" s="38"/>
      <c r="B182" s="38"/>
      <c r="C182" s="39"/>
      <c r="D182" s="39"/>
      <c r="E182" s="38"/>
      <c r="F182" s="39"/>
      <c r="G182" s="39"/>
      <c r="H182" s="38"/>
      <c r="I182" s="38"/>
      <c r="J182" s="38"/>
      <c r="K182" s="38"/>
    </row>
    <row r="183" spans="1:11" x14ac:dyDescent="0.2">
      <c r="A183" s="38"/>
      <c r="B183" s="38"/>
      <c r="C183" s="39"/>
      <c r="D183" s="39"/>
      <c r="E183" s="38"/>
      <c r="F183" s="39"/>
      <c r="G183" s="39"/>
      <c r="H183" s="38"/>
      <c r="I183" s="38"/>
      <c r="J183" s="38"/>
      <c r="K183" s="38"/>
    </row>
    <row r="184" spans="1:11" x14ac:dyDescent="0.2">
      <c r="A184" s="38"/>
      <c r="B184" s="38"/>
      <c r="C184" s="39"/>
      <c r="D184" s="39"/>
      <c r="E184" s="38"/>
      <c r="F184" s="39"/>
      <c r="G184" s="39"/>
      <c r="H184" s="38"/>
      <c r="I184" s="38"/>
      <c r="J184" s="38"/>
      <c r="K184" s="38"/>
    </row>
    <row r="185" spans="1:11" x14ac:dyDescent="0.2">
      <c r="A185" s="38"/>
      <c r="B185" s="38"/>
      <c r="C185" s="39"/>
      <c r="D185" s="39"/>
      <c r="E185" s="38"/>
      <c r="F185" s="39"/>
      <c r="G185" s="39"/>
      <c r="H185" s="38"/>
      <c r="I185" s="38"/>
      <c r="J185" s="38"/>
      <c r="K185" s="38"/>
    </row>
    <row r="186" spans="1:11" x14ac:dyDescent="0.2">
      <c r="A186" s="38"/>
      <c r="B186" s="38"/>
      <c r="C186" s="39"/>
      <c r="D186" s="39"/>
      <c r="E186" s="38"/>
      <c r="F186" s="39"/>
      <c r="G186" s="39"/>
      <c r="H186" s="38"/>
      <c r="I186" s="38"/>
      <c r="J186" s="38"/>
      <c r="K186" s="38"/>
    </row>
    <row r="187" spans="1:11" x14ac:dyDescent="0.2">
      <c r="A187" s="38"/>
      <c r="B187" s="38"/>
      <c r="C187" s="39"/>
      <c r="D187" s="39"/>
      <c r="E187" s="38"/>
      <c r="F187" s="39"/>
      <c r="G187" s="39"/>
      <c r="H187" s="38"/>
      <c r="I187" s="38"/>
      <c r="J187" s="38"/>
      <c r="K187" s="38"/>
    </row>
    <row r="188" spans="1:11" x14ac:dyDescent="0.2">
      <c r="A188" s="38"/>
      <c r="B188" s="38"/>
      <c r="C188" s="39"/>
      <c r="D188" s="39"/>
      <c r="E188" s="38"/>
      <c r="F188" s="39"/>
      <c r="G188" s="39"/>
      <c r="H188" s="38"/>
      <c r="I188" s="38"/>
      <c r="J188" s="38"/>
      <c r="K188" s="38"/>
    </row>
    <row r="189" spans="1:11" x14ac:dyDescent="0.2">
      <c r="A189" s="38"/>
      <c r="B189" s="38"/>
      <c r="C189" s="39"/>
      <c r="D189" s="39"/>
      <c r="E189" s="38"/>
      <c r="F189" s="39"/>
      <c r="G189" s="39"/>
      <c r="H189" s="38"/>
      <c r="I189" s="38"/>
      <c r="J189" s="38"/>
      <c r="K189" s="38"/>
    </row>
    <row r="190" spans="1:11" x14ac:dyDescent="0.2">
      <c r="A190" s="38"/>
      <c r="B190" s="38"/>
      <c r="C190" s="39"/>
      <c r="D190" s="39"/>
      <c r="E190" s="38"/>
      <c r="F190" s="39"/>
      <c r="G190" s="39"/>
      <c r="H190" s="38"/>
      <c r="I190" s="38"/>
      <c r="J190" s="38"/>
      <c r="K190" s="38"/>
    </row>
    <row r="191" spans="1:11" x14ac:dyDescent="0.2">
      <c r="A191" s="38"/>
      <c r="B191" s="38"/>
      <c r="C191" s="39"/>
      <c r="D191" s="39"/>
      <c r="E191" s="38"/>
      <c r="F191" s="39"/>
      <c r="G191" s="39"/>
      <c r="H191" s="38"/>
      <c r="I191" s="38"/>
      <c r="J191" s="38"/>
      <c r="K191" s="38"/>
    </row>
    <row r="192" spans="1:11" x14ac:dyDescent="0.2">
      <c r="A192" s="38"/>
      <c r="B192" s="38"/>
      <c r="C192" s="39"/>
      <c r="D192" s="39"/>
      <c r="E192" s="38"/>
      <c r="F192" s="39"/>
      <c r="G192" s="39"/>
      <c r="H192" s="38"/>
      <c r="I192" s="38"/>
      <c r="J192" s="38"/>
      <c r="K192" s="38"/>
    </row>
    <row r="193" spans="1:11" x14ac:dyDescent="0.2">
      <c r="A193" s="38"/>
      <c r="B193" s="38"/>
      <c r="C193" s="39"/>
      <c r="D193" s="39"/>
      <c r="E193" s="38"/>
      <c r="F193" s="39"/>
      <c r="G193" s="39"/>
      <c r="H193" s="38"/>
      <c r="I193" s="38"/>
      <c r="J193" s="38"/>
      <c r="K193" s="38"/>
    </row>
    <row r="194" spans="1:11" x14ac:dyDescent="0.2">
      <c r="A194" s="38"/>
      <c r="B194" s="38"/>
      <c r="C194" s="39"/>
      <c r="D194" s="39"/>
      <c r="E194" s="38"/>
      <c r="F194" s="39"/>
      <c r="G194" s="39"/>
      <c r="H194" s="38"/>
      <c r="I194" s="38"/>
      <c r="J194" s="38"/>
      <c r="K194" s="38"/>
    </row>
    <row r="195" spans="1:11" x14ac:dyDescent="0.2">
      <c r="A195" s="38"/>
      <c r="B195" s="38"/>
      <c r="C195" s="39"/>
      <c r="D195" s="39"/>
      <c r="E195" s="38"/>
      <c r="F195" s="39"/>
      <c r="G195" s="39"/>
      <c r="H195" s="38"/>
      <c r="I195" s="38"/>
      <c r="J195" s="38"/>
      <c r="K195" s="38"/>
    </row>
    <row r="196" spans="1:11" x14ac:dyDescent="0.2">
      <c r="A196" s="38"/>
      <c r="B196" s="38"/>
      <c r="C196" s="39"/>
      <c r="D196" s="39"/>
      <c r="E196" s="38"/>
      <c r="F196" s="39"/>
      <c r="G196" s="39"/>
      <c r="H196" s="38"/>
      <c r="I196" s="38"/>
      <c r="J196" s="38"/>
      <c r="K196" s="38"/>
    </row>
    <row r="197" spans="1:11" x14ac:dyDescent="0.2">
      <c r="A197" s="38"/>
      <c r="B197" s="38"/>
      <c r="C197" s="39"/>
      <c r="D197" s="39"/>
      <c r="E197" s="38"/>
      <c r="F197" s="39"/>
      <c r="G197" s="39"/>
      <c r="H197" s="38"/>
      <c r="I197" s="38"/>
      <c r="J197" s="38"/>
      <c r="K197" s="38"/>
    </row>
    <row r="198" spans="1:11" x14ac:dyDescent="0.2">
      <c r="A198" s="38"/>
      <c r="B198" s="38"/>
      <c r="C198" s="39"/>
      <c r="D198" s="39"/>
      <c r="E198" s="38"/>
      <c r="F198" s="39"/>
      <c r="G198" s="39"/>
      <c r="H198" s="38"/>
      <c r="I198" s="38"/>
      <c r="J198" s="38"/>
      <c r="K198" s="38"/>
    </row>
    <row r="199" spans="1:11" x14ac:dyDescent="0.2">
      <c r="A199" s="38"/>
      <c r="B199" s="38"/>
      <c r="C199" s="39"/>
      <c r="D199" s="39"/>
      <c r="E199" s="38"/>
      <c r="F199" s="39"/>
      <c r="G199" s="39"/>
      <c r="H199" s="38"/>
      <c r="I199" s="38"/>
      <c r="J199" s="38"/>
      <c r="K199" s="38"/>
    </row>
    <row r="200" spans="1:11" x14ac:dyDescent="0.2">
      <c r="A200" s="38"/>
      <c r="B200" s="38"/>
      <c r="C200" s="39"/>
      <c r="D200" s="39"/>
      <c r="E200" s="38"/>
      <c r="F200" s="39"/>
      <c r="G200" s="39"/>
      <c r="H200" s="38"/>
      <c r="I200" s="38"/>
      <c r="J200" s="38"/>
      <c r="K200" s="38"/>
    </row>
    <row r="201" spans="1:11" x14ac:dyDescent="0.2">
      <c r="A201" s="38"/>
      <c r="B201" s="38"/>
      <c r="C201" s="39"/>
      <c r="D201" s="39"/>
      <c r="E201" s="38"/>
      <c r="F201" s="39"/>
      <c r="G201" s="39"/>
      <c r="H201" s="38"/>
      <c r="I201" s="38"/>
      <c r="J201" s="38"/>
      <c r="K201" s="38"/>
    </row>
    <row r="202" spans="1:11" x14ac:dyDescent="0.2">
      <c r="A202" s="38"/>
      <c r="B202" s="38"/>
      <c r="C202" s="39"/>
      <c r="D202" s="39"/>
      <c r="E202" s="38"/>
      <c r="F202" s="39"/>
      <c r="G202" s="39"/>
      <c r="H202" s="38"/>
      <c r="I202" s="38"/>
      <c r="J202" s="38"/>
      <c r="K202" s="38"/>
    </row>
    <row r="203" spans="1:11" x14ac:dyDescent="0.2">
      <c r="A203" s="38"/>
      <c r="B203" s="38"/>
      <c r="C203" s="39"/>
      <c r="D203" s="39"/>
      <c r="E203" s="38"/>
      <c r="F203" s="39"/>
      <c r="G203" s="39"/>
      <c r="H203" s="38"/>
      <c r="I203" s="38"/>
      <c r="J203" s="38"/>
      <c r="K203" s="38"/>
    </row>
    <row r="204" spans="1:11" x14ac:dyDescent="0.2">
      <c r="A204" s="38"/>
      <c r="B204" s="38"/>
      <c r="C204" s="39"/>
      <c r="D204" s="39"/>
      <c r="E204" s="38"/>
      <c r="F204" s="39"/>
      <c r="G204" s="39"/>
      <c r="H204" s="38"/>
      <c r="I204" s="38"/>
      <c r="J204" s="38"/>
      <c r="K204" s="38"/>
    </row>
    <row r="205" spans="1:11" x14ac:dyDescent="0.2">
      <c r="A205" s="38"/>
      <c r="B205" s="38"/>
      <c r="C205" s="39"/>
      <c r="D205" s="39"/>
      <c r="E205" s="38"/>
      <c r="F205" s="39"/>
      <c r="G205" s="39"/>
      <c r="H205" s="38"/>
      <c r="I205" s="38"/>
      <c r="J205" s="38"/>
      <c r="K205" s="38"/>
    </row>
    <row r="206" spans="1:11" x14ac:dyDescent="0.2">
      <c r="A206" s="38"/>
      <c r="B206" s="38"/>
      <c r="C206" s="39"/>
      <c r="D206" s="39"/>
      <c r="E206" s="38"/>
      <c r="F206" s="39"/>
      <c r="G206" s="39"/>
      <c r="H206" s="38"/>
      <c r="I206" s="38"/>
      <c r="J206" s="38"/>
      <c r="K206" s="38"/>
    </row>
    <row r="207" spans="1:11" x14ac:dyDescent="0.2">
      <c r="A207" s="38"/>
      <c r="B207" s="38"/>
      <c r="C207" s="39"/>
      <c r="D207" s="39"/>
      <c r="E207" s="38"/>
      <c r="F207" s="39"/>
      <c r="G207" s="39"/>
      <c r="H207" s="38"/>
      <c r="I207" s="38"/>
      <c r="J207" s="38"/>
      <c r="K207" s="38"/>
    </row>
    <row r="208" spans="1:11" x14ac:dyDescent="0.2">
      <c r="A208" s="38"/>
      <c r="B208" s="38"/>
      <c r="C208" s="39"/>
      <c r="D208" s="39"/>
      <c r="E208" s="38"/>
      <c r="F208" s="39"/>
      <c r="G208" s="39"/>
      <c r="H208" s="38"/>
      <c r="I208" s="38"/>
      <c r="J208" s="38"/>
      <c r="K208" s="38"/>
    </row>
    <row r="209" spans="1:11" x14ac:dyDescent="0.2">
      <c r="A209" s="38"/>
      <c r="B209" s="38"/>
      <c r="C209" s="39"/>
      <c r="D209" s="39"/>
      <c r="E209" s="38"/>
      <c r="F209" s="39"/>
      <c r="G209" s="39"/>
      <c r="H209" s="38"/>
      <c r="I209" s="38"/>
      <c r="J209" s="38"/>
      <c r="K209" s="38"/>
    </row>
    <row r="210" spans="1:11" x14ac:dyDescent="0.2">
      <c r="A210" s="38"/>
      <c r="B210" s="38"/>
      <c r="C210" s="39"/>
      <c r="D210" s="39"/>
      <c r="E210" s="38"/>
      <c r="F210" s="39"/>
      <c r="G210" s="39"/>
      <c r="H210" s="38"/>
      <c r="I210" s="38"/>
      <c r="J210" s="38"/>
      <c r="K210" s="38"/>
    </row>
    <row r="211" spans="1:11" x14ac:dyDescent="0.2">
      <c r="A211" s="38"/>
      <c r="B211" s="38"/>
      <c r="C211" s="39"/>
      <c r="D211" s="39"/>
      <c r="E211" s="38"/>
      <c r="F211" s="39"/>
      <c r="G211" s="39"/>
      <c r="H211" s="38"/>
      <c r="I211" s="38"/>
      <c r="J211" s="38"/>
      <c r="K211" s="38"/>
    </row>
    <row r="212" spans="1:11" x14ac:dyDescent="0.2">
      <c r="A212" s="38"/>
      <c r="B212" s="38"/>
      <c r="C212" s="39"/>
      <c r="D212" s="39"/>
      <c r="E212" s="38"/>
      <c r="F212" s="39"/>
      <c r="G212" s="39"/>
      <c r="H212" s="38"/>
      <c r="I212" s="38"/>
      <c r="J212" s="38"/>
      <c r="K212" s="38"/>
    </row>
    <row r="213" spans="1:11" x14ac:dyDescent="0.2">
      <c r="A213" s="38"/>
      <c r="B213" s="38"/>
      <c r="C213" s="39"/>
      <c r="D213" s="39"/>
      <c r="E213" s="38"/>
      <c r="F213" s="39"/>
      <c r="G213" s="39"/>
      <c r="H213" s="38"/>
      <c r="I213" s="38"/>
      <c r="J213" s="38"/>
      <c r="K213" s="38"/>
    </row>
    <row r="214" spans="1:11" x14ac:dyDescent="0.2">
      <c r="A214" s="38"/>
      <c r="B214" s="38"/>
      <c r="C214" s="39"/>
      <c r="D214" s="39"/>
      <c r="E214" s="38"/>
      <c r="F214" s="39"/>
      <c r="G214" s="39"/>
      <c r="H214" s="38"/>
      <c r="I214" s="38"/>
      <c r="J214" s="38"/>
      <c r="K214" s="38"/>
    </row>
    <row r="215" spans="1:11" x14ac:dyDescent="0.2">
      <c r="A215" s="38"/>
      <c r="B215" s="38"/>
      <c r="C215" s="39"/>
      <c r="D215" s="39"/>
      <c r="E215" s="38"/>
      <c r="F215" s="39"/>
      <c r="G215" s="39"/>
      <c r="H215" s="38"/>
      <c r="I215" s="38"/>
      <c r="J215" s="38"/>
      <c r="K215" s="38"/>
    </row>
    <row r="216" spans="1:11" x14ac:dyDescent="0.2">
      <c r="A216" s="38"/>
      <c r="B216" s="38"/>
      <c r="C216" s="39"/>
      <c r="D216" s="39"/>
      <c r="E216" s="38"/>
      <c r="F216" s="39"/>
      <c r="G216" s="39"/>
      <c r="H216" s="38"/>
      <c r="I216" s="38"/>
      <c r="J216" s="38"/>
      <c r="K216" s="38"/>
    </row>
    <row r="217" spans="1:11" x14ac:dyDescent="0.2">
      <c r="A217" s="38"/>
      <c r="B217" s="38"/>
      <c r="C217" s="39"/>
      <c r="D217" s="39"/>
      <c r="E217" s="38"/>
      <c r="F217" s="39"/>
      <c r="G217" s="39"/>
      <c r="H217" s="38"/>
      <c r="I217" s="38"/>
      <c r="J217" s="38"/>
      <c r="K217" s="38"/>
    </row>
    <row r="218" spans="1:11" x14ac:dyDescent="0.2">
      <c r="A218" s="38"/>
      <c r="B218" s="38"/>
      <c r="C218" s="39"/>
      <c r="D218" s="39"/>
      <c r="E218" s="38"/>
      <c r="F218" s="39"/>
      <c r="G218" s="39"/>
      <c r="H218" s="38"/>
      <c r="I218" s="38"/>
      <c r="J218" s="38"/>
      <c r="K218" s="38"/>
    </row>
    <row r="219" spans="1:11" x14ac:dyDescent="0.2">
      <c r="A219" s="38"/>
      <c r="B219" s="38"/>
      <c r="C219" s="39"/>
      <c r="D219" s="39"/>
      <c r="E219" s="38"/>
      <c r="F219" s="39"/>
      <c r="G219" s="39"/>
      <c r="H219" s="38"/>
      <c r="I219" s="38"/>
      <c r="J219" s="38"/>
      <c r="K219" s="38"/>
    </row>
    <row r="220" spans="1:11" x14ac:dyDescent="0.2">
      <c r="A220" s="38"/>
      <c r="B220" s="38"/>
      <c r="C220" s="39"/>
      <c r="D220" s="39"/>
      <c r="E220" s="38"/>
      <c r="F220" s="39"/>
      <c r="G220" s="39"/>
      <c r="H220" s="38"/>
      <c r="I220" s="38"/>
      <c r="J220" s="38"/>
      <c r="K220" s="38"/>
    </row>
    <row r="221" spans="1:11" x14ac:dyDescent="0.2">
      <c r="A221" s="38"/>
      <c r="B221" s="38"/>
      <c r="C221" s="39"/>
      <c r="D221" s="39"/>
      <c r="E221" s="38"/>
      <c r="F221" s="39"/>
      <c r="G221" s="39"/>
      <c r="H221" s="38"/>
      <c r="I221" s="38"/>
      <c r="J221" s="38"/>
      <c r="K221" s="38"/>
    </row>
    <row r="222" spans="1:11" x14ac:dyDescent="0.2">
      <c r="A222" s="38"/>
      <c r="B222" s="38"/>
      <c r="C222" s="39"/>
      <c r="D222" s="39"/>
      <c r="E222" s="38"/>
      <c r="F222" s="39"/>
      <c r="G222" s="39"/>
      <c r="H222" s="38"/>
      <c r="I222" s="38"/>
      <c r="J222" s="38"/>
      <c r="K222" s="38"/>
    </row>
    <row r="223" spans="1:11" x14ac:dyDescent="0.2">
      <c r="A223" s="38"/>
      <c r="B223" s="38"/>
      <c r="C223" s="39"/>
      <c r="D223" s="39"/>
      <c r="E223" s="38"/>
      <c r="F223" s="39"/>
      <c r="G223" s="39"/>
      <c r="H223" s="38"/>
      <c r="I223" s="38"/>
      <c r="J223" s="38"/>
      <c r="K223" s="38"/>
    </row>
    <row r="224" spans="1:11" x14ac:dyDescent="0.2">
      <c r="A224" s="38"/>
      <c r="B224" s="38"/>
      <c r="C224" s="39"/>
      <c r="D224" s="39"/>
      <c r="E224" s="38"/>
      <c r="F224" s="39"/>
      <c r="G224" s="39"/>
      <c r="H224" s="38"/>
      <c r="I224" s="38"/>
      <c r="J224" s="38"/>
      <c r="K224" s="38"/>
    </row>
    <row r="225" spans="1:11" x14ac:dyDescent="0.2">
      <c r="A225" s="38"/>
      <c r="B225" s="38"/>
      <c r="C225" s="39"/>
      <c r="D225" s="39"/>
      <c r="E225" s="38"/>
      <c r="F225" s="39"/>
      <c r="G225" s="39"/>
      <c r="H225" s="38"/>
      <c r="I225" s="38"/>
      <c r="J225" s="38"/>
      <c r="K225" s="38"/>
    </row>
    <row r="226" spans="1:11" x14ac:dyDescent="0.2">
      <c r="A226" s="38"/>
      <c r="B226" s="38"/>
      <c r="C226" s="39"/>
      <c r="D226" s="39"/>
      <c r="E226" s="38"/>
      <c r="F226" s="39"/>
      <c r="G226" s="39"/>
      <c r="H226" s="38"/>
      <c r="I226" s="38"/>
      <c r="J226" s="38"/>
      <c r="K226" s="38"/>
    </row>
    <row r="227" spans="1:11" x14ac:dyDescent="0.2">
      <c r="A227" s="38"/>
      <c r="B227" s="38"/>
      <c r="C227" s="39"/>
      <c r="D227" s="39"/>
      <c r="E227" s="38"/>
      <c r="F227" s="39"/>
      <c r="G227" s="39"/>
      <c r="H227" s="38"/>
      <c r="I227" s="38"/>
      <c r="J227" s="38"/>
      <c r="K227" s="38"/>
    </row>
    <row r="228" spans="1:11" x14ac:dyDescent="0.2">
      <c r="A228" s="38"/>
      <c r="B228" s="38"/>
      <c r="C228" s="39"/>
      <c r="D228" s="39"/>
      <c r="E228" s="38"/>
      <c r="F228" s="39"/>
      <c r="G228" s="39"/>
      <c r="H228" s="38"/>
      <c r="I228" s="38"/>
      <c r="J228" s="38"/>
      <c r="K228" s="38"/>
    </row>
    <row r="229" spans="1:11" x14ac:dyDescent="0.2">
      <c r="A229" s="38"/>
      <c r="B229" s="38"/>
      <c r="C229" s="39"/>
      <c r="D229" s="39"/>
      <c r="E229" s="38"/>
      <c r="F229" s="39"/>
      <c r="G229" s="39"/>
      <c r="H229" s="38"/>
      <c r="I229" s="38"/>
      <c r="J229" s="38"/>
      <c r="K229" s="38"/>
    </row>
    <row r="230" spans="1:11" x14ac:dyDescent="0.2">
      <c r="A230" s="38"/>
      <c r="B230" s="38"/>
      <c r="C230" s="39"/>
      <c r="D230" s="39"/>
      <c r="E230" s="38"/>
      <c r="F230" s="39"/>
      <c r="G230" s="39"/>
      <c r="H230" s="38"/>
      <c r="I230" s="38"/>
      <c r="J230" s="38"/>
      <c r="K230" s="38"/>
    </row>
    <row r="231" spans="1:11" x14ac:dyDescent="0.2">
      <c r="A231" s="38"/>
      <c r="B231" s="38"/>
      <c r="C231" s="39"/>
      <c r="D231" s="39"/>
      <c r="E231" s="38"/>
      <c r="F231" s="39"/>
      <c r="G231" s="39"/>
      <c r="H231" s="38"/>
      <c r="I231" s="38"/>
      <c r="J231" s="38"/>
      <c r="K231" s="38"/>
    </row>
    <row r="232" spans="1:11" x14ac:dyDescent="0.2">
      <c r="A232" s="38"/>
      <c r="B232" s="38"/>
      <c r="C232" s="39"/>
      <c r="D232" s="39"/>
      <c r="E232" s="38"/>
      <c r="F232" s="39"/>
      <c r="G232" s="39"/>
      <c r="H232" s="38"/>
      <c r="I232" s="38"/>
      <c r="J232" s="38"/>
      <c r="K232" s="38"/>
    </row>
    <row r="233" spans="1:11" x14ac:dyDescent="0.2">
      <c r="A233" s="38"/>
      <c r="B233" s="38"/>
      <c r="C233" s="39"/>
      <c r="D233" s="39"/>
      <c r="E233" s="38"/>
      <c r="F233" s="39"/>
      <c r="G233" s="39"/>
      <c r="H233" s="38"/>
      <c r="I233" s="38"/>
      <c r="J233" s="38"/>
      <c r="K233" s="38"/>
    </row>
    <row r="234" spans="1:11" x14ac:dyDescent="0.2">
      <c r="A234" s="38"/>
      <c r="B234" s="38"/>
      <c r="C234" s="39"/>
      <c r="D234" s="39"/>
      <c r="E234" s="38"/>
      <c r="F234" s="39"/>
      <c r="G234" s="39"/>
      <c r="H234" s="38"/>
      <c r="I234" s="38"/>
      <c r="J234" s="38"/>
      <c r="K234" s="38"/>
    </row>
    <row r="235" spans="1:11" x14ac:dyDescent="0.2">
      <c r="A235" s="38"/>
      <c r="B235" s="38"/>
      <c r="C235" s="39"/>
      <c r="D235" s="39"/>
      <c r="E235" s="38"/>
      <c r="F235" s="39"/>
      <c r="G235" s="39"/>
      <c r="H235" s="38"/>
      <c r="I235" s="38"/>
      <c r="J235" s="38"/>
      <c r="K235" s="38"/>
    </row>
    <row r="236" spans="1:11" x14ac:dyDescent="0.2">
      <c r="A236" s="38"/>
      <c r="B236" s="38"/>
      <c r="C236" s="39"/>
      <c r="D236" s="39"/>
      <c r="E236" s="38"/>
      <c r="F236" s="39"/>
      <c r="G236" s="39"/>
      <c r="H236" s="38"/>
      <c r="I236" s="38"/>
      <c r="J236" s="38"/>
      <c r="K236" s="38"/>
    </row>
    <row r="237" spans="1:11" x14ac:dyDescent="0.2">
      <c r="A237" s="38"/>
      <c r="B237" s="38"/>
      <c r="C237" s="39"/>
      <c r="D237" s="39"/>
      <c r="E237" s="38"/>
      <c r="F237" s="39"/>
      <c r="G237" s="39"/>
      <c r="H237" s="38"/>
      <c r="I237" s="38"/>
      <c r="J237" s="38"/>
      <c r="K237" s="38"/>
    </row>
    <row r="238" spans="1:11" x14ac:dyDescent="0.2">
      <c r="A238" s="38"/>
      <c r="B238" s="38"/>
      <c r="C238" s="39"/>
      <c r="D238" s="39"/>
      <c r="E238" s="38"/>
      <c r="F238" s="39"/>
      <c r="G238" s="39"/>
      <c r="H238" s="38"/>
      <c r="I238" s="38"/>
      <c r="J238" s="38"/>
      <c r="K238" s="38"/>
    </row>
    <row r="239" spans="1:11" x14ac:dyDescent="0.2">
      <c r="A239" s="38"/>
      <c r="B239" s="38"/>
      <c r="C239" s="39"/>
      <c r="D239" s="39"/>
      <c r="E239" s="38"/>
      <c r="F239" s="39"/>
      <c r="G239" s="39"/>
      <c r="H239" s="38"/>
      <c r="I239" s="38"/>
      <c r="J239" s="38"/>
      <c r="K239" s="38"/>
    </row>
    <row r="240" spans="1:11" x14ac:dyDescent="0.2">
      <c r="A240" s="38"/>
      <c r="B240" s="38"/>
      <c r="C240" s="39"/>
      <c r="D240" s="39"/>
      <c r="E240" s="38"/>
      <c r="F240" s="39"/>
      <c r="G240" s="39"/>
      <c r="H240" s="38"/>
      <c r="I240" s="38"/>
      <c r="J240" s="38"/>
      <c r="K240" s="38"/>
    </row>
    <row r="241" spans="1:11" x14ac:dyDescent="0.2">
      <c r="A241" s="38"/>
      <c r="B241" s="38"/>
      <c r="C241" s="39"/>
      <c r="D241" s="39"/>
      <c r="E241" s="38"/>
      <c r="F241" s="39"/>
      <c r="G241" s="39"/>
      <c r="H241" s="38"/>
      <c r="I241" s="38"/>
      <c r="J241" s="38"/>
      <c r="K241" s="38"/>
    </row>
    <row r="242" spans="1:11" x14ac:dyDescent="0.2">
      <c r="A242" s="38"/>
      <c r="B242" s="38"/>
      <c r="C242" s="39"/>
      <c r="D242" s="39"/>
      <c r="E242" s="38"/>
      <c r="F242" s="39"/>
      <c r="G242" s="39"/>
      <c r="H242" s="38"/>
      <c r="I242" s="38"/>
      <c r="J242" s="38"/>
      <c r="K242" s="38"/>
    </row>
    <row r="243" spans="1:11" x14ac:dyDescent="0.2">
      <c r="A243" s="38"/>
      <c r="B243" s="38"/>
      <c r="C243" s="39"/>
      <c r="D243" s="39"/>
      <c r="E243" s="38"/>
      <c r="F243" s="39"/>
      <c r="G243" s="39"/>
      <c r="H243" s="38"/>
      <c r="I243" s="38"/>
      <c r="J243" s="38"/>
      <c r="K243" s="38"/>
    </row>
    <row r="244" spans="1:11" x14ac:dyDescent="0.2">
      <c r="A244" s="38"/>
      <c r="B244" s="38"/>
      <c r="C244" s="39"/>
      <c r="D244" s="39"/>
      <c r="E244" s="38"/>
      <c r="F244" s="39"/>
      <c r="G244" s="39"/>
      <c r="H244" s="38"/>
      <c r="I244" s="38"/>
      <c r="J244" s="38"/>
      <c r="K244" s="38"/>
    </row>
    <row r="245" spans="1:11" x14ac:dyDescent="0.2">
      <c r="A245" s="38"/>
      <c r="B245" s="38"/>
      <c r="C245" s="39"/>
      <c r="D245" s="39"/>
      <c r="E245" s="38"/>
      <c r="F245" s="39"/>
      <c r="G245" s="39"/>
      <c r="H245" s="38"/>
      <c r="I245" s="38"/>
      <c r="J245" s="38"/>
      <c r="K245" s="38"/>
    </row>
    <row r="246" spans="1:11" x14ac:dyDescent="0.2">
      <c r="A246" s="38"/>
      <c r="B246" s="38"/>
      <c r="C246" s="39"/>
      <c r="D246" s="39"/>
      <c r="E246" s="38"/>
      <c r="F246" s="39"/>
      <c r="G246" s="39"/>
      <c r="H246" s="38"/>
      <c r="I246" s="38"/>
      <c r="J246" s="38"/>
      <c r="K246" s="38"/>
    </row>
    <row r="247" spans="1:11" x14ac:dyDescent="0.2">
      <c r="A247" s="38"/>
      <c r="B247" s="38"/>
      <c r="C247" s="39"/>
      <c r="D247" s="39"/>
      <c r="E247" s="38"/>
      <c r="F247" s="39"/>
      <c r="G247" s="39"/>
      <c r="H247" s="38"/>
      <c r="I247" s="38"/>
      <c r="J247" s="38"/>
      <c r="K247" s="38"/>
    </row>
    <row r="248" spans="1:11" x14ac:dyDescent="0.2">
      <c r="A248" s="38"/>
      <c r="B248" s="38"/>
      <c r="C248" s="39"/>
      <c r="D248" s="39"/>
      <c r="E248" s="38"/>
      <c r="F248" s="39"/>
      <c r="G248" s="39"/>
      <c r="H248" s="38"/>
      <c r="I248" s="38"/>
      <c r="J248" s="38"/>
      <c r="K248" s="38"/>
    </row>
    <row r="249" spans="1:11" x14ac:dyDescent="0.2">
      <c r="A249" s="38"/>
      <c r="B249" s="38"/>
      <c r="C249" s="39"/>
      <c r="D249" s="39"/>
      <c r="E249" s="38"/>
      <c r="F249" s="39"/>
      <c r="G249" s="39"/>
      <c r="H249" s="38"/>
      <c r="I249" s="38"/>
      <c r="J249" s="38"/>
      <c r="K249" s="38"/>
    </row>
    <row r="250" spans="1:11" x14ac:dyDescent="0.2">
      <c r="A250" s="38"/>
      <c r="B250" s="38"/>
      <c r="C250" s="39"/>
      <c r="D250" s="39"/>
      <c r="E250" s="38"/>
      <c r="F250" s="39"/>
      <c r="G250" s="39"/>
      <c r="H250" s="38"/>
      <c r="I250" s="38"/>
      <c r="J250" s="38"/>
      <c r="K250" s="38"/>
    </row>
    <row r="251" spans="1:11" x14ac:dyDescent="0.2">
      <c r="A251" s="38"/>
      <c r="B251" s="38"/>
      <c r="C251" s="39"/>
      <c r="D251" s="39"/>
      <c r="E251" s="38"/>
      <c r="F251" s="39"/>
      <c r="G251" s="39"/>
      <c r="H251" s="38"/>
      <c r="I251" s="38"/>
      <c r="J251" s="38"/>
      <c r="K251" s="38"/>
    </row>
    <row r="252" spans="1:11" x14ac:dyDescent="0.2">
      <c r="A252" s="38"/>
      <c r="B252" s="38"/>
      <c r="C252" s="39"/>
      <c r="D252" s="39"/>
      <c r="E252" s="38"/>
      <c r="F252" s="39"/>
      <c r="G252" s="39"/>
      <c r="H252" s="38"/>
      <c r="I252" s="38"/>
      <c r="J252" s="38"/>
      <c r="K252" s="38"/>
    </row>
    <row r="253" spans="1:11" x14ac:dyDescent="0.2">
      <c r="A253" s="38"/>
      <c r="B253" s="38"/>
      <c r="C253" s="39"/>
      <c r="D253" s="39"/>
      <c r="E253" s="38"/>
      <c r="F253" s="39"/>
      <c r="G253" s="39"/>
      <c r="H253" s="38"/>
      <c r="I253" s="38"/>
      <c r="J253" s="38"/>
      <c r="K253" s="38"/>
    </row>
    <row r="254" spans="1:11" x14ac:dyDescent="0.2">
      <c r="A254" s="38"/>
      <c r="B254" s="38"/>
      <c r="C254" s="39"/>
      <c r="D254" s="39"/>
      <c r="E254" s="38"/>
      <c r="F254" s="39"/>
      <c r="G254" s="39"/>
      <c r="H254" s="38"/>
      <c r="I254" s="38"/>
      <c r="J254" s="38"/>
      <c r="K254" s="38"/>
    </row>
    <row r="255" spans="1:11" x14ac:dyDescent="0.2">
      <c r="A255" s="38"/>
      <c r="B255" s="38"/>
      <c r="C255" s="39"/>
      <c r="D255" s="39"/>
      <c r="E255" s="38"/>
      <c r="F255" s="39"/>
      <c r="G255" s="39"/>
      <c r="H255" s="38"/>
      <c r="I255" s="38"/>
      <c r="J255" s="38"/>
      <c r="K255" s="38"/>
    </row>
    <row r="256" spans="1:11" x14ac:dyDescent="0.2">
      <c r="A256" s="38"/>
      <c r="B256" s="38"/>
      <c r="C256" s="39"/>
      <c r="D256" s="39"/>
      <c r="E256" s="38"/>
      <c r="F256" s="39"/>
      <c r="G256" s="39"/>
      <c r="H256" s="38"/>
      <c r="I256" s="38"/>
      <c r="J256" s="38"/>
      <c r="K256" s="38"/>
    </row>
    <row r="257" spans="1:11" x14ac:dyDescent="0.2">
      <c r="A257" s="38"/>
      <c r="B257" s="38"/>
      <c r="C257" s="39"/>
      <c r="D257" s="39"/>
      <c r="E257" s="38"/>
      <c r="F257" s="39"/>
      <c r="G257" s="39"/>
      <c r="H257" s="38"/>
      <c r="I257" s="38"/>
      <c r="J257" s="38"/>
      <c r="K257" s="38"/>
    </row>
    <row r="258" spans="1:11" x14ac:dyDescent="0.2">
      <c r="A258" s="38"/>
      <c r="B258" s="38"/>
      <c r="C258" s="39"/>
      <c r="D258" s="39"/>
      <c r="E258" s="38"/>
      <c r="F258" s="39"/>
      <c r="G258" s="39"/>
      <c r="H258" s="38"/>
      <c r="I258" s="38"/>
      <c r="J258" s="38"/>
      <c r="K258" s="38"/>
    </row>
    <row r="259" spans="1:11" x14ac:dyDescent="0.2">
      <c r="A259" s="38"/>
      <c r="B259" s="38"/>
      <c r="C259" s="39"/>
      <c r="D259" s="39"/>
      <c r="E259" s="38"/>
      <c r="F259" s="39"/>
      <c r="G259" s="39"/>
      <c r="H259" s="38"/>
      <c r="I259" s="38"/>
      <c r="J259" s="38"/>
      <c r="K259" s="38"/>
    </row>
    <row r="260" spans="1:11" x14ac:dyDescent="0.2">
      <c r="A260" s="38"/>
      <c r="B260" s="38"/>
      <c r="C260" s="39"/>
      <c r="D260" s="39"/>
      <c r="E260" s="38"/>
      <c r="F260" s="39"/>
      <c r="G260" s="39"/>
      <c r="H260" s="38"/>
      <c r="I260" s="38"/>
      <c r="J260" s="38"/>
      <c r="K260" s="38"/>
    </row>
    <row r="261" spans="1:11" x14ac:dyDescent="0.2">
      <c r="A261" s="38"/>
      <c r="B261" s="38"/>
      <c r="C261" s="39"/>
      <c r="D261" s="39"/>
      <c r="E261" s="38"/>
      <c r="F261" s="39"/>
      <c r="G261" s="39"/>
      <c r="H261" s="38"/>
      <c r="I261" s="38"/>
      <c r="J261" s="38"/>
      <c r="K261" s="38"/>
    </row>
    <row r="262" spans="1:11" x14ac:dyDescent="0.2">
      <c r="A262" s="38"/>
      <c r="B262" s="38"/>
      <c r="C262" s="39"/>
      <c r="D262" s="39"/>
      <c r="E262" s="38"/>
      <c r="F262" s="39"/>
      <c r="G262" s="39"/>
      <c r="H262" s="38"/>
      <c r="I262" s="38"/>
      <c r="J262" s="38"/>
      <c r="K262" s="38"/>
    </row>
    <row r="263" spans="1:11" x14ac:dyDescent="0.2">
      <c r="A263" s="38"/>
      <c r="B263" s="38"/>
      <c r="C263" s="39"/>
      <c r="D263" s="39"/>
      <c r="E263" s="38"/>
      <c r="F263" s="39"/>
      <c r="G263" s="39"/>
      <c r="H263" s="38"/>
      <c r="I263" s="38"/>
      <c r="J263" s="38"/>
      <c r="K263" s="38"/>
    </row>
    <row r="264" spans="1:11" x14ac:dyDescent="0.2">
      <c r="A264" s="38"/>
      <c r="B264" s="38"/>
      <c r="C264" s="39"/>
      <c r="D264" s="39"/>
      <c r="E264" s="38"/>
      <c r="F264" s="39"/>
      <c r="G264" s="39"/>
      <c r="H264" s="38"/>
      <c r="I264" s="38"/>
      <c r="J264" s="38"/>
      <c r="K264" s="38"/>
    </row>
    <row r="265" spans="1:11" x14ac:dyDescent="0.2">
      <c r="A265" s="38"/>
      <c r="B265" s="38"/>
      <c r="C265" s="39"/>
      <c r="D265" s="39"/>
      <c r="E265" s="38"/>
      <c r="F265" s="39"/>
      <c r="G265" s="39"/>
      <c r="H265" s="38"/>
      <c r="I265" s="38"/>
      <c r="J265" s="38"/>
      <c r="K265" s="38"/>
    </row>
    <row r="266" spans="1:11" x14ac:dyDescent="0.2">
      <c r="A266" s="38"/>
      <c r="B266" s="38"/>
      <c r="C266" s="39"/>
      <c r="D266" s="39"/>
      <c r="E266" s="38"/>
      <c r="F266" s="39"/>
      <c r="G266" s="39"/>
      <c r="H266" s="38"/>
      <c r="I266" s="38"/>
      <c r="J266" s="38"/>
      <c r="K266" s="38"/>
    </row>
    <row r="267" spans="1:11" x14ac:dyDescent="0.2">
      <c r="A267" s="38"/>
      <c r="B267" s="38"/>
      <c r="C267" s="39"/>
      <c r="D267" s="39"/>
      <c r="E267" s="38"/>
      <c r="F267" s="39"/>
      <c r="G267" s="39"/>
      <c r="H267" s="38"/>
      <c r="I267" s="38"/>
      <c r="J267" s="38"/>
      <c r="K267" s="38"/>
    </row>
    <row r="268" spans="1:11" x14ac:dyDescent="0.2">
      <c r="A268" s="38"/>
      <c r="B268" s="38"/>
      <c r="C268" s="39"/>
      <c r="D268" s="39"/>
      <c r="E268" s="38"/>
      <c r="F268" s="39"/>
      <c r="G268" s="39"/>
      <c r="H268" s="38"/>
      <c r="I268" s="38"/>
      <c r="J268" s="38"/>
      <c r="K268" s="38"/>
    </row>
    <row r="269" spans="1:11" x14ac:dyDescent="0.2">
      <c r="A269" s="38"/>
      <c r="B269" s="38"/>
      <c r="C269" s="39"/>
      <c r="D269" s="39"/>
      <c r="E269" s="38"/>
      <c r="F269" s="39"/>
      <c r="G269" s="39"/>
      <c r="H269" s="38"/>
      <c r="I269" s="38"/>
      <c r="J269" s="38"/>
      <c r="K269" s="38"/>
    </row>
    <row r="270" spans="1:11" x14ac:dyDescent="0.2">
      <c r="A270" s="38"/>
      <c r="B270" s="38"/>
      <c r="C270" s="39"/>
      <c r="D270" s="39"/>
      <c r="E270" s="38"/>
      <c r="F270" s="39"/>
      <c r="G270" s="39"/>
      <c r="H270" s="38"/>
      <c r="I270" s="38"/>
      <c r="J270" s="38"/>
      <c r="K270" s="38"/>
    </row>
    <row r="271" spans="1:11" x14ac:dyDescent="0.2">
      <c r="A271" s="38"/>
      <c r="B271" s="38"/>
      <c r="C271" s="39"/>
      <c r="D271" s="39"/>
      <c r="E271" s="38"/>
      <c r="F271" s="39"/>
      <c r="G271" s="39"/>
      <c r="H271" s="38"/>
      <c r="I271" s="38"/>
      <c r="J271" s="38"/>
      <c r="K271" s="38"/>
    </row>
    <row r="272" spans="1:11" x14ac:dyDescent="0.2">
      <c r="A272" s="38"/>
      <c r="B272" s="38"/>
      <c r="C272" s="39"/>
      <c r="D272" s="39"/>
      <c r="E272" s="38"/>
      <c r="F272" s="39"/>
      <c r="G272" s="39"/>
      <c r="H272" s="38"/>
      <c r="I272" s="38"/>
      <c r="J272" s="38"/>
      <c r="K272" s="38"/>
    </row>
    <row r="273" spans="1:11" x14ac:dyDescent="0.2">
      <c r="A273" s="38"/>
      <c r="B273" s="38"/>
      <c r="C273" s="39"/>
      <c r="D273" s="39"/>
      <c r="E273" s="38"/>
      <c r="F273" s="39"/>
      <c r="G273" s="39"/>
      <c r="H273" s="38"/>
      <c r="I273" s="38"/>
      <c r="J273" s="38"/>
      <c r="K273" s="38"/>
    </row>
    <row r="274" spans="1:11" x14ac:dyDescent="0.2">
      <c r="A274" s="38"/>
      <c r="B274" s="38"/>
      <c r="C274" s="39"/>
      <c r="D274" s="39"/>
      <c r="E274" s="38"/>
      <c r="F274" s="39"/>
      <c r="G274" s="39"/>
      <c r="H274" s="38"/>
      <c r="I274" s="38"/>
      <c r="J274" s="38"/>
      <c r="K274" s="38"/>
    </row>
    <row r="275" spans="1:11" x14ac:dyDescent="0.2">
      <c r="A275" s="38"/>
      <c r="B275" s="38"/>
      <c r="C275" s="39"/>
      <c r="D275" s="39"/>
      <c r="E275" s="38"/>
      <c r="F275" s="39"/>
      <c r="G275" s="39"/>
      <c r="H275" s="38"/>
      <c r="I275" s="38"/>
      <c r="J275" s="38"/>
      <c r="K275" s="38"/>
    </row>
    <row r="276" spans="1:11" x14ac:dyDescent="0.2">
      <c r="A276" s="38"/>
      <c r="B276" s="38"/>
      <c r="C276" s="39"/>
      <c r="D276" s="39"/>
      <c r="E276" s="38"/>
      <c r="F276" s="39"/>
      <c r="G276" s="39"/>
      <c r="H276" s="38"/>
      <c r="I276" s="38"/>
      <c r="J276" s="38"/>
      <c r="K276" s="38"/>
    </row>
    <row r="277" spans="1:11" x14ac:dyDescent="0.2">
      <c r="A277" s="38"/>
      <c r="B277" s="38"/>
      <c r="C277" s="39"/>
      <c r="D277" s="39"/>
      <c r="E277" s="38"/>
      <c r="F277" s="39"/>
      <c r="G277" s="39"/>
      <c r="H277" s="38"/>
      <c r="I277" s="38"/>
      <c r="J277" s="38"/>
      <c r="K277" s="38"/>
    </row>
    <row r="278" spans="1:11" x14ac:dyDescent="0.2">
      <c r="A278" s="38"/>
      <c r="B278" s="38"/>
      <c r="C278" s="39"/>
      <c r="D278" s="39"/>
      <c r="E278" s="38"/>
      <c r="F278" s="39"/>
      <c r="G278" s="39"/>
      <c r="H278" s="38"/>
      <c r="I278" s="38"/>
      <c r="J278" s="38"/>
      <c r="K278" s="38"/>
    </row>
    <row r="279" spans="1:11" x14ac:dyDescent="0.2">
      <c r="A279" s="38"/>
      <c r="B279" s="38"/>
      <c r="C279" s="39"/>
      <c r="D279" s="39"/>
      <c r="E279" s="38"/>
      <c r="F279" s="39"/>
      <c r="G279" s="39"/>
      <c r="H279" s="38"/>
      <c r="I279" s="38"/>
      <c r="J279" s="38"/>
      <c r="K279" s="38"/>
    </row>
    <row r="280" spans="1:11" x14ac:dyDescent="0.2">
      <c r="A280" s="38"/>
      <c r="B280" s="38"/>
      <c r="C280" s="39"/>
      <c r="D280" s="39"/>
      <c r="E280" s="38"/>
      <c r="F280" s="39"/>
      <c r="G280" s="39"/>
      <c r="H280" s="38"/>
      <c r="I280" s="38"/>
      <c r="J280" s="38"/>
      <c r="K280" s="38"/>
    </row>
    <row r="281" spans="1:11" x14ac:dyDescent="0.2">
      <c r="A281" s="38"/>
      <c r="B281" s="38"/>
      <c r="C281" s="39"/>
      <c r="D281" s="39"/>
      <c r="E281" s="38"/>
      <c r="F281" s="39"/>
      <c r="G281" s="39"/>
      <c r="H281" s="38"/>
      <c r="I281" s="38"/>
      <c r="J281" s="38"/>
      <c r="K281" s="38"/>
    </row>
    <row r="282" spans="1:11" x14ac:dyDescent="0.2">
      <c r="A282" s="38"/>
      <c r="B282" s="38"/>
      <c r="C282" s="39"/>
      <c r="D282" s="39"/>
      <c r="E282" s="38"/>
      <c r="F282" s="39"/>
      <c r="G282" s="39"/>
      <c r="H282" s="38"/>
      <c r="I282" s="38"/>
      <c r="J282" s="38"/>
      <c r="K282" s="38"/>
    </row>
    <row r="283" spans="1:11" x14ac:dyDescent="0.2">
      <c r="A283" s="38"/>
      <c r="B283" s="38"/>
      <c r="C283" s="39"/>
      <c r="D283" s="39"/>
      <c r="E283" s="38"/>
      <c r="F283" s="39"/>
      <c r="G283" s="39"/>
      <c r="H283" s="38"/>
      <c r="I283" s="38"/>
      <c r="J283" s="38"/>
      <c r="K283" s="38"/>
    </row>
    <row r="284" spans="1:11" x14ac:dyDescent="0.2">
      <c r="A284" s="38"/>
      <c r="B284" s="38"/>
      <c r="C284" s="39"/>
      <c r="D284" s="39"/>
      <c r="E284" s="38"/>
      <c r="F284" s="39"/>
      <c r="G284" s="39"/>
      <c r="H284" s="38"/>
      <c r="I284" s="38"/>
      <c r="J284" s="38"/>
      <c r="K284" s="38"/>
    </row>
    <row r="285" spans="1:11" x14ac:dyDescent="0.2">
      <c r="A285" s="38"/>
      <c r="B285" s="38"/>
      <c r="C285" s="39"/>
      <c r="D285" s="39"/>
      <c r="E285" s="38"/>
      <c r="F285" s="39"/>
      <c r="G285" s="39"/>
      <c r="H285" s="38"/>
      <c r="I285" s="38"/>
      <c r="J285" s="38"/>
      <c r="K285" s="38"/>
    </row>
    <row r="286" spans="1:11" x14ac:dyDescent="0.2">
      <c r="A286" s="38"/>
      <c r="B286" s="38"/>
      <c r="C286" s="39"/>
      <c r="D286" s="39"/>
      <c r="E286" s="38"/>
      <c r="F286" s="39"/>
      <c r="G286" s="39"/>
      <c r="H286" s="38"/>
      <c r="I286" s="38"/>
      <c r="J286" s="38"/>
      <c r="K286" s="38"/>
    </row>
    <row r="287" spans="1:11" x14ac:dyDescent="0.2">
      <c r="A287" s="38"/>
      <c r="B287" s="38"/>
      <c r="C287" s="39"/>
      <c r="D287" s="39"/>
      <c r="E287" s="38"/>
      <c r="F287" s="39"/>
      <c r="G287" s="39"/>
      <c r="H287" s="38"/>
      <c r="I287" s="38"/>
      <c r="J287" s="38"/>
      <c r="K287" s="38"/>
    </row>
    <row r="288" spans="1:11" x14ac:dyDescent="0.2">
      <c r="A288" s="38"/>
      <c r="B288" s="38"/>
      <c r="C288" s="39"/>
      <c r="D288" s="39"/>
      <c r="E288" s="38"/>
      <c r="F288" s="39"/>
      <c r="G288" s="39"/>
      <c r="H288" s="38"/>
      <c r="I288" s="38"/>
      <c r="J288" s="38"/>
      <c r="K288" s="38"/>
    </row>
  </sheetData>
  <mergeCells count="13">
    <mergeCell ref="A58:B58"/>
    <mergeCell ref="A19:A30"/>
    <mergeCell ref="A31:B31"/>
    <mergeCell ref="A32:A43"/>
    <mergeCell ref="A44:B44"/>
    <mergeCell ref="A45:A56"/>
    <mergeCell ref="A57:B57"/>
    <mergeCell ref="A1:K1"/>
    <mergeCell ref="A2:K2"/>
    <mergeCell ref="A4:A5"/>
    <mergeCell ref="B4:B5"/>
    <mergeCell ref="A6:A17"/>
    <mergeCell ref="A18:B18"/>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57:H58 F44:H44"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7"/>
  <sheetViews>
    <sheetView showGridLines="0" zoomScaleNormal="100" workbookViewId="0">
      <selection activeCell="F17" sqref="F17"/>
    </sheetView>
  </sheetViews>
  <sheetFormatPr baseColWidth="10" defaultRowHeight="12.75" x14ac:dyDescent="0.2"/>
  <cols>
    <col min="1" max="1" width="3.5703125" style="4" customWidth="1"/>
    <col min="2" max="2" width="8.5703125" style="4" customWidth="1"/>
    <col min="3" max="3" width="14.5703125" style="4" customWidth="1"/>
    <col min="4" max="4" width="32.42578125" style="4" customWidth="1"/>
    <col min="5" max="5" width="20.85546875" style="113" customWidth="1"/>
    <col min="6" max="6" width="11.42578125" style="4"/>
    <col min="7" max="7" width="14" style="4" bestFit="1" customWidth="1"/>
    <col min="8" max="16384" width="11.42578125" style="4"/>
  </cols>
  <sheetData>
    <row r="1" spans="1:5" x14ac:dyDescent="0.2">
      <c r="A1" s="1" t="s">
        <v>62</v>
      </c>
      <c r="B1" s="1"/>
      <c r="C1" s="2"/>
      <c r="D1" s="2"/>
      <c r="E1" s="112"/>
    </row>
    <row r="2" spans="1:5" x14ac:dyDescent="0.2">
      <c r="A2" s="1" t="s">
        <v>63</v>
      </c>
      <c r="B2" s="1"/>
      <c r="C2" s="2"/>
      <c r="D2" s="2"/>
      <c r="E2" s="112"/>
    </row>
    <row r="3" spans="1:5" x14ac:dyDescent="0.2">
      <c r="C3" s="5"/>
      <c r="D3" s="5"/>
    </row>
    <row r="4" spans="1:5" x14ac:dyDescent="0.2">
      <c r="A4" s="6" t="s">
        <v>1202</v>
      </c>
      <c r="B4" s="1"/>
      <c r="C4" s="2"/>
      <c r="D4" s="2"/>
      <c r="E4" s="112"/>
    </row>
    <row r="5" spans="1:5" x14ac:dyDescent="0.2">
      <c r="A5" s="6"/>
      <c r="B5" s="1"/>
      <c r="C5" s="2"/>
      <c r="D5" s="2"/>
      <c r="E5" s="112"/>
    </row>
    <row r="6" spans="1:5" x14ac:dyDescent="0.2">
      <c r="A6" s="48" t="s">
        <v>1203</v>
      </c>
      <c r="B6" s="1"/>
      <c r="C6" s="2"/>
      <c r="D6" s="2"/>
      <c r="E6" s="112"/>
    </row>
    <row r="7" spans="1:5" x14ac:dyDescent="0.2">
      <c r="A7" s="1" t="s">
        <v>88</v>
      </c>
      <c r="B7" s="1"/>
      <c r="C7" s="2"/>
      <c r="D7" s="2"/>
      <c r="E7" s="112"/>
    </row>
    <row r="8" spans="1:5" x14ac:dyDescent="0.2">
      <c r="A8" s="7"/>
      <c r="B8" s="1"/>
      <c r="C8" s="1"/>
      <c r="D8" s="1"/>
    </row>
    <row r="9" spans="1:5" x14ac:dyDescent="0.2">
      <c r="A9" s="20" t="s">
        <v>1192</v>
      </c>
    </row>
    <row r="11" spans="1:5" x14ac:dyDescent="0.2">
      <c r="A11" s="4" t="s">
        <v>73</v>
      </c>
      <c r="E11" s="85">
        <v>67798200000</v>
      </c>
    </row>
    <row r="12" spans="1:5" hidden="1" x14ac:dyDescent="0.2">
      <c r="B12" s="4" t="s">
        <v>74</v>
      </c>
      <c r="C12" s="4" t="s">
        <v>79</v>
      </c>
      <c r="E12" s="85">
        <v>0</v>
      </c>
    </row>
    <row r="13" spans="1:5" ht="12.75" hidden="1" customHeight="1" x14ac:dyDescent="0.2">
      <c r="B13" s="4" t="s">
        <v>218</v>
      </c>
      <c r="C13" s="4" t="s">
        <v>219</v>
      </c>
      <c r="E13" s="85"/>
    </row>
    <row r="14" spans="1:5" x14ac:dyDescent="0.2">
      <c r="E14" s="88"/>
    </row>
    <row r="15" spans="1:5" x14ac:dyDescent="0.2">
      <c r="A15" s="64" t="s">
        <v>1204</v>
      </c>
      <c r="B15" s="24"/>
      <c r="C15" s="24"/>
      <c r="D15" s="24"/>
      <c r="E15" s="87">
        <f>SUM(E11:E14)</f>
        <v>67798200000</v>
      </c>
    </row>
    <row r="16" spans="1:5" x14ac:dyDescent="0.2">
      <c r="E16" s="88"/>
    </row>
    <row r="17" spans="1:5" x14ac:dyDescent="0.2">
      <c r="A17" s="49" t="s">
        <v>1205</v>
      </c>
      <c r="E17" s="88"/>
    </row>
    <row r="18" spans="1:5" x14ac:dyDescent="0.2">
      <c r="B18" s="25"/>
      <c r="C18" s="4" t="s">
        <v>75</v>
      </c>
      <c r="E18" s="85">
        <f>+'2'!B24</f>
        <v>0</v>
      </c>
    </row>
    <row r="19" spans="1:5" x14ac:dyDescent="0.2">
      <c r="B19" s="25"/>
      <c r="C19" s="4" t="s">
        <v>166</v>
      </c>
      <c r="E19" s="85">
        <f>+'2'!C24</f>
        <v>16949550000</v>
      </c>
    </row>
    <row r="20" spans="1:5" x14ac:dyDescent="0.2">
      <c r="B20" s="25"/>
      <c r="C20" s="4" t="s">
        <v>80</v>
      </c>
      <c r="E20" s="85">
        <f>+'2'!D24</f>
        <v>0</v>
      </c>
    </row>
    <row r="21" spans="1:5" x14ac:dyDescent="0.2">
      <c r="A21" s="22" t="s">
        <v>76</v>
      </c>
      <c r="B21" s="23"/>
      <c r="C21" s="23"/>
      <c r="D21" s="23"/>
      <c r="E21" s="86">
        <f>SUM(E18:E20)</f>
        <v>16949550000</v>
      </c>
    </row>
    <row r="22" spans="1:5" hidden="1" x14ac:dyDescent="0.2">
      <c r="B22" s="4" t="s">
        <v>74</v>
      </c>
      <c r="C22" s="4" t="s">
        <v>81</v>
      </c>
      <c r="E22" s="85">
        <v>0</v>
      </c>
    </row>
    <row r="23" spans="1:5" x14ac:dyDescent="0.2">
      <c r="B23" s="4" t="s">
        <v>74</v>
      </c>
      <c r="C23" s="49" t="s">
        <v>1206</v>
      </c>
      <c r="E23" s="85">
        <v>88817547915.23378</v>
      </c>
    </row>
    <row r="24" spans="1:5" x14ac:dyDescent="0.2">
      <c r="A24" s="65" t="s">
        <v>1207</v>
      </c>
      <c r="B24" s="23"/>
      <c r="C24" s="23"/>
      <c r="D24" s="23"/>
      <c r="E24" s="86">
        <f>+E21+E23</f>
        <v>105767097915.23378</v>
      </c>
    </row>
    <row r="25" spans="1:5" x14ac:dyDescent="0.2">
      <c r="C25" s="49" t="s">
        <v>1208</v>
      </c>
      <c r="E25" s="85">
        <v>383794086.81999999</v>
      </c>
    </row>
    <row r="26" spans="1:5" x14ac:dyDescent="0.2">
      <c r="A26" s="64" t="s">
        <v>1209</v>
      </c>
      <c r="B26" s="24"/>
      <c r="C26" s="24"/>
      <c r="D26" s="24"/>
      <c r="E26" s="87">
        <f>E24+E25</f>
        <v>106150892002.05379</v>
      </c>
    </row>
    <row r="27" spans="1:5" x14ac:dyDescent="0.2">
      <c r="E27" s="88"/>
    </row>
    <row r="28" spans="1:5" x14ac:dyDescent="0.2">
      <c r="A28" s="19" t="s">
        <v>82</v>
      </c>
      <c r="E28" s="88"/>
    </row>
    <row r="29" spans="1:5" x14ac:dyDescent="0.2">
      <c r="B29" s="49" t="s">
        <v>221</v>
      </c>
      <c r="E29" s="85">
        <v>28690484328.13945</v>
      </c>
    </row>
    <row r="30" spans="1:5" x14ac:dyDescent="0.2">
      <c r="B30" s="4" t="s">
        <v>220</v>
      </c>
      <c r="E30" s="85">
        <v>1272166635.6921818</v>
      </c>
    </row>
    <row r="31" spans="1:5" x14ac:dyDescent="0.2">
      <c r="B31" s="4" t="s">
        <v>77</v>
      </c>
      <c r="E31" s="85">
        <v>2662831</v>
      </c>
    </row>
    <row r="32" spans="1:5" x14ac:dyDescent="0.2">
      <c r="A32" s="64" t="s">
        <v>1210</v>
      </c>
      <c r="B32" s="24"/>
      <c r="C32" s="24"/>
      <c r="D32" s="24"/>
      <c r="E32" s="114">
        <f>SUM(E29:E31)</f>
        <v>29965313794.831631</v>
      </c>
    </row>
    <row r="34" spans="1:7" x14ac:dyDescent="0.2">
      <c r="A34" s="64" t="s">
        <v>1211</v>
      </c>
      <c r="B34" s="24"/>
      <c r="C34" s="24"/>
      <c r="D34" s="24"/>
      <c r="E34" s="115">
        <f>+E26-E32</f>
        <v>76185578207.222153</v>
      </c>
      <c r="F34" s="54"/>
    </row>
    <row r="35" spans="1:7" x14ac:dyDescent="0.2">
      <c r="F35" s="54"/>
      <c r="G35" s="243"/>
    </row>
    <row r="36" spans="1:7" ht="49.5" customHeight="1" x14ac:dyDescent="0.2">
      <c r="A36" s="261" t="s">
        <v>1212</v>
      </c>
      <c r="B36" s="262"/>
      <c r="C36" s="262"/>
      <c r="D36" s="262"/>
      <c r="E36" s="262"/>
    </row>
    <row r="37" spans="1:7" ht="36" hidden="1" customHeight="1" x14ac:dyDescent="0.2">
      <c r="A37" s="261" t="s">
        <v>222</v>
      </c>
      <c r="B37" s="262"/>
      <c r="C37" s="262"/>
      <c r="D37" s="262"/>
      <c r="E37" s="262"/>
    </row>
  </sheetData>
  <mergeCells count="2">
    <mergeCell ref="A36:E36"/>
    <mergeCell ref="A37:E37"/>
  </mergeCells>
  <phoneticPr fontId="3" type="noConversion"/>
  <printOptions horizontalCentered="1"/>
  <pageMargins left="0.78740157480314965" right="0.78740157480314965" top="1.3779527559055118" bottom="0.98425196850393704" header="0.78740157480314965" footer="0"/>
  <pageSetup orientation="portrait" r:id="rId1"/>
  <headerFooter alignWithMargins="0">
    <oddHeader>&amp;C&amp;UAnexo Nº 6</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58"/>
  <sheetViews>
    <sheetView showGridLines="0" workbookViewId="0">
      <selection activeCell="A12" sqref="A12"/>
    </sheetView>
  </sheetViews>
  <sheetFormatPr baseColWidth="10" defaultRowHeight="16.149999999999999" customHeight="1" x14ac:dyDescent="0.2"/>
  <cols>
    <col min="1" max="1" width="33.5703125" style="141" customWidth="1"/>
    <col min="2" max="2" width="21.85546875" style="240" customWidth="1"/>
    <col min="3" max="3" width="13.42578125" style="240" customWidth="1"/>
    <col min="4" max="4" width="16.140625" style="240" customWidth="1"/>
    <col min="5" max="5" width="18.7109375" style="240" customWidth="1"/>
    <col min="6" max="6" width="20.28515625" style="141" customWidth="1"/>
    <col min="7" max="12" width="10" style="141" customWidth="1"/>
    <col min="13" max="13" width="10" style="138" customWidth="1"/>
    <col min="14" max="16" width="10" style="141" customWidth="1"/>
    <col min="17" max="17" width="1.85546875" style="141" customWidth="1"/>
    <col min="18" max="18" width="8.28515625" style="241" customWidth="1"/>
    <col min="19" max="19" width="8.28515625" style="242" customWidth="1"/>
    <col min="20" max="20" width="12.7109375" style="141" customWidth="1"/>
    <col min="21" max="21" width="11" style="141" customWidth="1"/>
    <col min="22" max="24" width="9" style="141" customWidth="1"/>
    <col min="25" max="16384" width="11.42578125" style="141"/>
  </cols>
  <sheetData>
    <row r="1" spans="1:24" ht="16.149999999999999" customHeight="1" x14ac:dyDescent="0.2">
      <c r="A1" s="139" t="s">
        <v>62</v>
      </c>
      <c r="B1" s="140"/>
      <c r="C1" s="140"/>
      <c r="D1" s="140"/>
      <c r="E1" s="140"/>
      <c r="F1" s="140"/>
      <c r="G1" s="140"/>
      <c r="H1" s="140"/>
      <c r="I1" s="140"/>
      <c r="J1" s="140"/>
      <c r="K1" s="140"/>
      <c r="L1" s="140"/>
      <c r="M1" s="91"/>
      <c r="N1" s="140"/>
      <c r="O1" s="140"/>
      <c r="P1" s="140"/>
      <c r="Q1" s="140"/>
      <c r="R1" s="140"/>
      <c r="S1" s="140"/>
      <c r="T1" s="140"/>
      <c r="U1" s="140"/>
      <c r="V1" s="140"/>
      <c r="W1" s="140"/>
      <c r="X1" s="140"/>
    </row>
    <row r="2" spans="1:24" ht="16.149999999999999" customHeight="1" x14ac:dyDescent="0.2">
      <c r="A2" s="139" t="s">
        <v>180</v>
      </c>
      <c r="B2" s="140"/>
      <c r="C2" s="140"/>
      <c r="D2" s="140"/>
      <c r="E2" s="140"/>
      <c r="F2" s="142"/>
      <c r="G2" s="143"/>
      <c r="H2" s="140"/>
      <c r="I2" s="140"/>
      <c r="J2" s="119"/>
      <c r="K2" s="140"/>
      <c r="L2" s="140"/>
      <c r="M2" s="91"/>
      <c r="N2" s="140"/>
      <c r="O2" s="140"/>
      <c r="P2" s="118"/>
      <c r="Q2" s="140"/>
      <c r="R2" s="140"/>
      <c r="S2" s="140"/>
      <c r="T2" s="140"/>
      <c r="U2" s="140"/>
      <c r="V2" s="140"/>
      <c r="W2" s="140"/>
      <c r="X2" s="140"/>
    </row>
    <row r="3" spans="1:24" ht="16.149999999999999" customHeight="1" x14ac:dyDescent="0.2">
      <c r="A3" s="139" t="s">
        <v>442</v>
      </c>
      <c r="B3" s="140"/>
      <c r="C3" s="140"/>
      <c r="D3" s="140"/>
      <c r="E3" s="119"/>
      <c r="F3" s="140"/>
      <c r="G3" s="140"/>
      <c r="H3" s="119"/>
      <c r="I3" s="119"/>
      <c r="J3" s="119"/>
      <c r="K3" s="119"/>
      <c r="L3" s="119"/>
      <c r="M3" s="119"/>
      <c r="N3" s="119"/>
      <c r="O3" s="119"/>
      <c r="P3" s="119"/>
      <c r="Q3" s="140"/>
      <c r="R3" s="140"/>
      <c r="S3" s="140"/>
      <c r="T3" s="140"/>
      <c r="U3" s="140"/>
      <c r="V3" s="140"/>
      <c r="W3" s="140"/>
      <c r="X3" s="140"/>
    </row>
    <row r="4" spans="1:24" ht="16.149999999999999" customHeight="1" x14ac:dyDescent="0.2">
      <c r="A4" s="144">
        <v>44286</v>
      </c>
      <c r="B4" s="145"/>
      <c r="C4" s="145"/>
      <c r="D4" s="145"/>
      <c r="E4" s="145"/>
      <c r="F4" s="145"/>
      <c r="G4" s="120"/>
      <c r="H4" s="120"/>
      <c r="I4" s="145"/>
      <c r="J4" s="120"/>
      <c r="K4" s="120"/>
      <c r="L4" s="120"/>
      <c r="M4" s="120"/>
      <c r="N4" s="145"/>
      <c r="O4" s="145"/>
      <c r="P4" s="146"/>
      <c r="Q4" s="145"/>
      <c r="R4" s="145"/>
      <c r="S4" s="145"/>
      <c r="T4" s="145"/>
      <c r="U4" s="145"/>
      <c r="V4" s="140"/>
      <c r="W4" s="140"/>
      <c r="X4" s="140"/>
    </row>
    <row r="5" spans="1:24" ht="16.149999999999999" customHeight="1" x14ac:dyDescent="0.2">
      <c r="A5" s="139" t="s">
        <v>181</v>
      </c>
      <c r="B5" s="147"/>
      <c r="C5" s="147"/>
      <c r="D5" s="147"/>
      <c r="E5" s="147"/>
      <c r="F5" s="148"/>
      <c r="G5" s="148"/>
      <c r="H5" s="149"/>
      <c r="I5" s="148"/>
      <c r="J5" s="150"/>
      <c r="K5" s="148"/>
      <c r="L5" s="150"/>
      <c r="M5" s="91"/>
      <c r="N5" s="150"/>
      <c r="O5" s="151"/>
      <c r="P5" s="146"/>
      <c r="Q5" s="148"/>
      <c r="R5" s="147"/>
      <c r="S5" s="140"/>
      <c r="T5" s="148"/>
      <c r="U5" s="148"/>
      <c r="V5" s="147"/>
      <c r="W5" s="148"/>
      <c r="X5" s="148"/>
    </row>
    <row r="6" spans="1:24" ht="16.149999999999999" customHeight="1" x14ac:dyDescent="0.2">
      <c r="A6" s="266" t="s">
        <v>442</v>
      </c>
      <c r="B6" s="268" t="s">
        <v>182</v>
      </c>
      <c r="C6" s="263" t="s">
        <v>183</v>
      </c>
      <c r="D6" s="263" t="s">
        <v>238</v>
      </c>
      <c r="E6" s="263" t="s">
        <v>239</v>
      </c>
      <c r="F6" s="263" t="s">
        <v>184</v>
      </c>
      <c r="G6" s="263" t="s">
        <v>185</v>
      </c>
      <c r="H6" s="263" t="s">
        <v>186</v>
      </c>
      <c r="I6" s="263" t="s">
        <v>187</v>
      </c>
      <c r="J6" s="263" t="s">
        <v>188</v>
      </c>
      <c r="K6" s="263" t="s">
        <v>189</v>
      </c>
      <c r="L6" s="263" t="s">
        <v>190</v>
      </c>
      <c r="M6" s="264" t="s">
        <v>191</v>
      </c>
      <c r="N6" s="263" t="s">
        <v>192</v>
      </c>
      <c r="O6" s="263" t="s">
        <v>193</v>
      </c>
      <c r="P6" s="263" t="s">
        <v>194</v>
      </c>
      <c r="Q6" s="153"/>
      <c r="R6" s="265" t="s">
        <v>195</v>
      </c>
      <c r="S6" s="265"/>
      <c r="T6" s="263" t="s">
        <v>196</v>
      </c>
      <c r="U6" s="263" t="s">
        <v>41</v>
      </c>
      <c r="V6" s="263" t="s">
        <v>197</v>
      </c>
      <c r="W6" s="263" t="s">
        <v>443</v>
      </c>
      <c r="X6" s="263" t="s">
        <v>406</v>
      </c>
    </row>
    <row r="7" spans="1:24" ht="16.149999999999999" customHeight="1" x14ac:dyDescent="0.2">
      <c r="A7" s="267"/>
      <c r="B7" s="269" t="s">
        <v>582</v>
      </c>
      <c r="C7" s="263" t="s">
        <v>279</v>
      </c>
      <c r="D7" s="263"/>
      <c r="E7" s="263"/>
      <c r="F7" s="263" t="s">
        <v>280</v>
      </c>
      <c r="G7" s="263"/>
      <c r="H7" s="263"/>
      <c r="I7" s="263" t="s">
        <v>281</v>
      </c>
      <c r="J7" s="263"/>
      <c r="K7" s="263"/>
      <c r="L7" s="263" t="s">
        <v>282</v>
      </c>
      <c r="M7" s="264"/>
      <c r="N7" s="263"/>
      <c r="O7" s="263" t="s">
        <v>283</v>
      </c>
      <c r="P7" s="263" t="s">
        <v>284</v>
      </c>
      <c r="Q7" s="153"/>
      <c r="R7" s="154" t="s">
        <v>198</v>
      </c>
      <c r="S7" s="154" t="s">
        <v>199</v>
      </c>
      <c r="T7" s="263" t="s">
        <v>285</v>
      </c>
      <c r="U7" s="263"/>
      <c r="V7" s="263" t="s">
        <v>286</v>
      </c>
      <c r="W7" s="263" t="s">
        <v>286</v>
      </c>
      <c r="X7" s="263"/>
    </row>
    <row r="8" spans="1:24" ht="16.149999999999999" customHeight="1" x14ac:dyDescent="0.2">
      <c r="A8" s="155"/>
      <c r="B8" s="156"/>
      <c r="C8" s="156"/>
      <c r="D8" s="156"/>
      <c r="E8" s="156"/>
      <c r="F8" s="156"/>
      <c r="G8" s="156"/>
      <c r="H8" s="156"/>
      <c r="I8" s="156"/>
      <c r="J8" s="156"/>
      <c r="K8" s="156"/>
      <c r="L8" s="156"/>
      <c r="M8" s="125"/>
      <c r="N8" s="156"/>
      <c r="O8" s="156"/>
      <c r="P8" s="156"/>
      <c r="Q8" s="156"/>
      <c r="R8" s="157"/>
      <c r="S8" s="157"/>
      <c r="T8" s="156"/>
      <c r="U8" s="156"/>
      <c r="V8" s="156"/>
      <c r="W8" s="156"/>
      <c r="X8" s="156"/>
    </row>
    <row r="9" spans="1:24" ht="16.149999999999999" customHeight="1" x14ac:dyDescent="0.2">
      <c r="A9" s="158" t="s">
        <v>200</v>
      </c>
      <c r="B9" s="158"/>
      <c r="C9" s="158"/>
      <c r="D9" s="158"/>
      <c r="E9" s="158"/>
      <c r="F9" s="158"/>
      <c r="G9" s="159"/>
      <c r="H9" s="159"/>
      <c r="I9" s="159"/>
      <c r="J9" s="160"/>
      <c r="K9" s="160"/>
      <c r="L9" s="146"/>
      <c r="M9" s="126"/>
      <c r="N9" s="146"/>
      <c r="O9" s="146"/>
      <c r="P9" s="146"/>
      <c r="Q9" s="146"/>
      <c r="R9" s="161"/>
      <c r="S9" s="161"/>
      <c r="T9" s="162"/>
      <c r="U9" s="162"/>
      <c r="V9" s="156"/>
      <c r="W9" s="156"/>
      <c r="X9" s="156"/>
    </row>
    <row r="10" spans="1:24" ht="16.149999999999999" customHeight="1" x14ac:dyDescent="0.2">
      <c r="A10" s="163" t="s">
        <v>583</v>
      </c>
      <c r="B10" s="164">
        <v>36912</v>
      </c>
      <c r="C10" s="164">
        <v>35716</v>
      </c>
      <c r="D10" s="165"/>
      <c r="E10" s="165"/>
      <c r="F10" s="165">
        <v>37361</v>
      </c>
      <c r="G10" s="166">
        <v>260.5</v>
      </c>
      <c r="H10" s="166">
        <v>0</v>
      </c>
      <c r="I10" s="166">
        <f t="shared" ref="I10:I41" si="0">G10+H10</f>
        <v>260.5</v>
      </c>
      <c r="J10" s="167">
        <v>260.5</v>
      </c>
      <c r="K10" s="167">
        <v>0</v>
      </c>
      <c r="L10" s="167">
        <f t="shared" ref="L10:L73" si="1">J10+K10</f>
        <v>260.5</v>
      </c>
      <c r="M10" s="127">
        <f t="shared" ref="M10:M55" si="2">G10-J10</f>
        <v>0</v>
      </c>
      <c r="N10" s="167">
        <f t="shared" ref="N10:N55" si="3">H10-K10</f>
        <v>0</v>
      </c>
      <c r="O10" s="167">
        <f t="shared" ref="O10:O41" si="4">M10+N10</f>
        <v>0</v>
      </c>
      <c r="P10" s="167">
        <v>0</v>
      </c>
      <c r="Q10" s="168"/>
      <c r="R10" s="128">
        <v>1</v>
      </c>
      <c r="S10" s="128">
        <v>1</v>
      </c>
      <c r="T10" s="169">
        <v>129</v>
      </c>
      <c r="U10" s="169">
        <v>129</v>
      </c>
      <c r="V10" s="169">
        <v>0</v>
      </c>
      <c r="W10" s="169">
        <v>128</v>
      </c>
      <c r="X10" s="169">
        <f>T10-W10</f>
        <v>1</v>
      </c>
    </row>
    <row r="11" spans="1:24" ht="16.149999999999999" customHeight="1" x14ac:dyDescent="0.2">
      <c r="A11" s="170" t="s">
        <v>201</v>
      </c>
      <c r="B11" s="171">
        <v>36684</v>
      </c>
      <c r="C11" s="171">
        <v>36988</v>
      </c>
      <c r="D11" s="165"/>
      <c r="E11" s="165"/>
      <c r="F11" s="165" t="s">
        <v>202</v>
      </c>
      <c r="G11" s="167">
        <v>267.08999999999997</v>
      </c>
      <c r="H11" s="167">
        <v>0</v>
      </c>
      <c r="I11" s="167">
        <f t="shared" si="0"/>
        <v>267.08999999999997</v>
      </c>
      <c r="J11" s="167">
        <v>267.08999999999997</v>
      </c>
      <c r="K11" s="167">
        <v>0</v>
      </c>
      <c r="L11" s="167">
        <f t="shared" si="1"/>
        <v>267.08999999999997</v>
      </c>
      <c r="M11" s="127">
        <f t="shared" si="2"/>
        <v>0</v>
      </c>
      <c r="N11" s="167">
        <f t="shared" si="3"/>
        <v>0</v>
      </c>
      <c r="O11" s="167">
        <f t="shared" si="4"/>
        <v>0</v>
      </c>
      <c r="P11" s="167">
        <f>134.68-1.37</f>
        <v>133.31</v>
      </c>
      <c r="Q11" s="168"/>
      <c r="R11" s="128">
        <v>1</v>
      </c>
      <c r="S11" s="172">
        <v>0</v>
      </c>
      <c r="T11" s="169">
        <v>292</v>
      </c>
      <c r="U11" s="169">
        <v>292</v>
      </c>
      <c r="V11" s="169">
        <v>0</v>
      </c>
      <c r="W11" s="169">
        <v>0</v>
      </c>
      <c r="X11" s="169">
        <f t="shared" ref="X11:X74" si="5">T11-W11</f>
        <v>292</v>
      </c>
    </row>
    <row r="12" spans="1:24" ht="16.149999999999999" customHeight="1" x14ac:dyDescent="0.2">
      <c r="A12" s="170" t="s">
        <v>584</v>
      </c>
      <c r="B12" s="171">
        <v>36708</v>
      </c>
      <c r="C12" s="171">
        <v>37083</v>
      </c>
      <c r="D12" s="165"/>
      <c r="E12" s="165"/>
      <c r="F12" s="165">
        <v>38017</v>
      </c>
      <c r="G12" s="167">
        <v>435.12</v>
      </c>
      <c r="H12" s="167">
        <v>0</v>
      </c>
      <c r="I12" s="167">
        <f t="shared" si="0"/>
        <v>435.12</v>
      </c>
      <c r="J12" s="167">
        <v>435.12</v>
      </c>
      <c r="K12" s="167">
        <v>0</v>
      </c>
      <c r="L12" s="167">
        <f t="shared" si="1"/>
        <v>435.12</v>
      </c>
      <c r="M12" s="127">
        <f t="shared" si="2"/>
        <v>0</v>
      </c>
      <c r="N12" s="167">
        <f t="shared" si="3"/>
        <v>0</v>
      </c>
      <c r="O12" s="167">
        <f t="shared" si="4"/>
        <v>0</v>
      </c>
      <c r="P12" s="167">
        <v>0</v>
      </c>
      <c r="Q12" s="168"/>
      <c r="R12" s="128">
        <v>1</v>
      </c>
      <c r="S12" s="172">
        <v>1</v>
      </c>
      <c r="T12" s="169">
        <v>162</v>
      </c>
      <c r="U12" s="169">
        <v>162</v>
      </c>
      <c r="V12" s="169">
        <v>0</v>
      </c>
      <c r="W12" s="169">
        <v>162</v>
      </c>
      <c r="X12" s="169">
        <f t="shared" si="5"/>
        <v>0</v>
      </c>
    </row>
    <row r="13" spans="1:24" ht="16.149999999999999" customHeight="1" x14ac:dyDescent="0.2">
      <c r="A13" s="170" t="s">
        <v>204</v>
      </c>
      <c r="B13" s="171">
        <v>35768</v>
      </c>
      <c r="C13" s="171">
        <v>36030</v>
      </c>
      <c r="D13" s="165"/>
      <c r="E13" s="165"/>
      <c r="F13" s="165" t="s">
        <v>202</v>
      </c>
      <c r="G13" s="167">
        <v>98.8</v>
      </c>
      <c r="H13" s="167">
        <v>0</v>
      </c>
      <c r="I13" s="167">
        <f t="shared" si="0"/>
        <v>98.8</v>
      </c>
      <c r="J13" s="167">
        <v>98.8</v>
      </c>
      <c r="K13" s="167">
        <v>0</v>
      </c>
      <c r="L13" s="167">
        <f t="shared" si="1"/>
        <v>98.8</v>
      </c>
      <c r="M13" s="127">
        <f t="shared" si="2"/>
        <v>0</v>
      </c>
      <c r="N13" s="167">
        <f t="shared" si="3"/>
        <v>0</v>
      </c>
      <c r="O13" s="167">
        <f t="shared" si="4"/>
        <v>0</v>
      </c>
      <c r="P13" s="167">
        <v>1.6</v>
      </c>
      <c r="Q13" s="168"/>
      <c r="R13" s="128">
        <v>1</v>
      </c>
      <c r="S13" s="172">
        <v>0.4</v>
      </c>
      <c r="T13" s="169">
        <v>80</v>
      </c>
      <c r="U13" s="169">
        <v>80</v>
      </c>
      <c r="V13" s="169">
        <v>0</v>
      </c>
      <c r="W13" s="169">
        <v>34</v>
      </c>
      <c r="X13" s="169">
        <f t="shared" si="5"/>
        <v>46</v>
      </c>
    </row>
    <row r="14" spans="1:24" ht="16.149999999999999" customHeight="1" x14ac:dyDescent="0.2">
      <c r="A14" s="170" t="s">
        <v>205</v>
      </c>
      <c r="B14" s="171">
        <v>35705</v>
      </c>
      <c r="C14" s="171">
        <v>36016</v>
      </c>
      <c r="D14" s="165"/>
      <c r="E14" s="165"/>
      <c r="F14" s="165" t="s">
        <v>202</v>
      </c>
      <c r="G14" s="167">
        <v>65.64</v>
      </c>
      <c r="H14" s="167">
        <v>0</v>
      </c>
      <c r="I14" s="167">
        <f t="shared" si="0"/>
        <v>65.64</v>
      </c>
      <c r="J14" s="167">
        <v>65.64</v>
      </c>
      <c r="K14" s="167">
        <v>0</v>
      </c>
      <c r="L14" s="167">
        <f t="shared" si="1"/>
        <v>65.64</v>
      </c>
      <c r="M14" s="127">
        <f t="shared" si="2"/>
        <v>0</v>
      </c>
      <c r="N14" s="167">
        <f t="shared" si="3"/>
        <v>0</v>
      </c>
      <c r="O14" s="167">
        <f t="shared" si="4"/>
        <v>0</v>
      </c>
      <c r="P14" s="167">
        <f>9.92-0.46</f>
        <v>9.4599999999999991</v>
      </c>
      <c r="Q14" s="168"/>
      <c r="R14" s="128">
        <v>0.6</v>
      </c>
      <c r="S14" s="172">
        <v>0.6</v>
      </c>
      <c r="T14" s="169">
        <v>54</v>
      </c>
      <c r="U14" s="169">
        <v>54</v>
      </c>
      <c r="V14" s="169">
        <v>0</v>
      </c>
      <c r="W14" s="169">
        <v>0</v>
      </c>
      <c r="X14" s="169">
        <f t="shared" si="5"/>
        <v>54</v>
      </c>
    </row>
    <row r="15" spans="1:24" ht="16.149999999999999" customHeight="1" x14ac:dyDescent="0.2">
      <c r="A15" s="170" t="s">
        <v>206</v>
      </c>
      <c r="B15" s="171">
        <v>36876</v>
      </c>
      <c r="C15" s="171">
        <v>37080</v>
      </c>
      <c r="D15" s="165"/>
      <c r="E15" s="165"/>
      <c r="F15" s="165" t="s">
        <v>202</v>
      </c>
      <c r="G15" s="167">
        <v>277.53699999999998</v>
      </c>
      <c r="H15" s="167">
        <v>0</v>
      </c>
      <c r="I15" s="167">
        <f t="shared" si="0"/>
        <v>277.53699999999998</v>
      </c>
      <c r="J15" s="167">
        <v>277.53699999999998</v>
      </c>
      <c r="K15" s="167">
        <v>0</v>
      </c>
      <c r="L15" s="167">
        <f t="shared" si="1"/>
        <v>277.53699999999998</v>
      </c>
      <c r="M15" s="127">
        <f t="shared" si="2"/>
        <v>0</v>
      </c>
      <c r="N15" s="167">
        <f t="shared" si="3"/>
        <v>0</v>
      </c>
      <c r="O15" s="167">
        <f t="shared" si="4"/>
        <v>0</v>
      </c>
      <c r="P15" s="167">
        <v>272.44</v>
      </c>
      <c r="Q15" s="168"/>
      <c r="R15" s="128">
        <v>1</v>
      </c>
      <c r="S15" s="172">
        <v>1</v>
      </c>
      <c r="T15" s="169">
        <v>118</v>
      </c>
      <c r="U15" s="169">
        <v>118</v>
      </c>
      <c r="V15" s="169">
        <v>0</v>
      </c>
      <c r="W15" s="169">
        <v>0</v>
      </c>
      <c r="X15" s="169">
        <f t="shared" si="5"/>
        <v>118</v>
      </c>
    </row>
    <row r="16" spans="1:24" ht="16.149999999999999" customHeight="1" x14ac:dyDescent="0.2">
      <c r="A16" s="170" t="s">
        <v>457</v>
      </c>
      <c r="B16" s="171" t="s">
        <v>458</v>
      </c>
      <c r="C16" s="171" t="s">
        <v>203</v>
      </c>
      <c r="D16" s="165"/>
      <c r="E16" s="165"/>
      <c r="F16" s="165" t="s">
        <v>203</v>
      </c>
      <c r="G16" s="167">
        <f>488.25+31.6</f>
        <v>519.85</v>
      </c>
      <c r="H16" s="167">
        <v>0</v>
      </c>
      <c r="I16" s="167">
        <f t="shared" si="0"/>
        <v>519.85</v>
      </c>
      <c r="J16" s="167">
        <f>488.25+5.42+8.55+7.84+4.11+4.1+1.58</f>
        <v>519.85</v>
      </c>
      <c r="K16" s="167">
        <v>0</v>
      </c>
      <c r="L16" s="167">
        <f t="shared" si="1"/>
        <v>519.85</v>
      </c>
      <c r="M16" s="127">
        <f t="shared" si="2"/>
        <v>0</v>
      </c>
      <c r="N16" s="167">
        <f t="shared" si="3"/>
        <v>0</v>
      </c>
      <c r="O16" s="167">
        <f t="shared" si="4"/>
        <v>0</v>
      </c>
      <c r="P16" s="167">
        <f>5.42+8.55+7.84+4.11+4.11+1.58</f>
        <v>31.61</v>
      </c>
      <c r="Q16" s="168"/>
      <c r="R16" s="128">
        <v>1</v>
      </c>
      <c r="S16" s="172">
        <v>1</v>
      </c>
      <c r="T16" s="169">
        <v>153</v>
      </c>
      <c r="U16" s="169">
        <v>153</v>
      </c>
      <c r="V16" s="169">
        <v>0</v>
      </c>
      <c r="W16" s="169">
        <v>153</v>
      </c>
      <c r="X16" s="169">
        <f t="shared" si="5"/>
        <v>0</v>
      </c>
    </row>
    <row r="17" spans="1:24" ht="16.149999999999999" customHeight="1" x14ac:dyDescent="0.2">
      <c r="A17" s="170" t="s">
        <v>585</v>
      </c>
      <c r="B17" s="171">
        <v>37358</v>
      </c>
      <c r="C17" s="171" t="s">
        <v>203</v>
      </c>
      <c r="D17" s="165"/>
      <c r="E17" s="165"/>
      <c r="F17" s="165" t="s">
        <v>203</v>
      </c>
      <c r="G17" s="167">
        <v>525.75</v>
      </c>
      <c r="H17" s="167">
        <v>0</v>
      </c>
      <c r="I17" s="167">
        <f t="shared" si="0"/>
        <v>525.75</v>
      </c>
      <c r="J17" s="167">
        <v>525.75</v>
      </c>
      <c r="K17" s="167">
        <v>0</v>
      </c>
      <c r="L17" s="167">
        <f t="shared" si="1"/>
        <v>525.75</v>
      </c>
      <c r="M17" s="127">
        <f t="shared" si="2"/>
        <v>0</v>
      </c>
      <c r="N17" s="167">
        <f t="shared" si="3"/>
        <v>0</v>
      </c>
      <c r="O17" s="167">
        <f t="shared" si="4"/>
        <v>0</v>
      </c>
      <c r="P17" s="171" t="s">
        <v>203</v>
      </c>
      <c r="Q17" s="168"/>
      <c r="R17" s="128">
        <v>1</v>
      </c>
      <c r="S17" s="172">
        <v>1</v>
      </c>
      <c r="T17" s="169">
        <v>140</v>
      </c>
      <c r="U17" s="169">
        <v>140</v>
      </c>
      <c r="V17" s="169">
        <v>0</v>
      </c>
      <c r="W17" s="169">
        <v>140</v>
      </c>
      <c r="X17" s="169">
        <f t="shared" si="5"/>
        <v>0</v>
      </c>
    </row>
    <row r="18" spans="1:24" ht="16.149999999999999" customHeight="1" x14ac:dyDescent="0.2">
      <c r="A18" s="170" t="s">
        <v>586</v>
      </c>
      <c r="B18" s="171">
        <v>37574</v>
      </c>
      <c r="C18" s="171" t="s">
        <v>203</v>
      </c>
      <c r="D18" s="165"/>
      <c r="E18" s="165"/>
      <c r="F18" s="165" t="s">
        <v>203</v>
      </c>
      <c r="G18" s="167">
        <v>164.99</v>
      </c>
      <c r="H18" s="167">
        <v>0</v>
      </c>
      <c r="I18" s="167">
        <f t="shared" si="0"/>
        <v>164.99</v>
      </c>
      <c r="J18" s="167">
        <v>164.99</v>
      </c>
      <c r="K18" s="167">
        <v>0</v>
      </c>
      <c r="L18" s="167">
        <f t="shared" si="1"/>
        <v>164.99</v>
      </c>
      <c r="M18" s="127">
        <f t="shared" si="2"/>
        <v>0</v>
      </c>
      <c r="N18" s="167">
        <f t="shared" si="3"/>
        <v>0</v>
      </c>
      <c r="O18" s="167">
        <f t="shared" si="4"/>
        <v>0</v>
      </c>
      <c r="P18" s="171" t="s">
        <v>203</v>
      </c>
      <c r="Q18" s="168"/>
      <c r="R18" s="128">
        <v>1</v>
      </c>
      <c r="S18" s="172">
        <v>1</v>
      </c>
      <c r="T18" s="169">
        <v>50</v>
      </c>
      <c r="U18" s="169">
        <v>50</v>
      </c>
      <c r="V18" s="169">
        <v>0</v>
      </c>
      <c r="W18" s="169">
        <v>50</v>
      </c>
      <c r="X18" s="169">
        <f t="shared" si="5"/>
        <v>0</v>
      </c>
    </row>
    <row r="19" spans="1:24" ht="16.149999999999999" customHeight="1" x14ac:dyDescent="0.2">
      <c r="A19" s="170" t="s">
        <v>587</v>
      </c>
      <c r="B19" s="171">
        <v>37721</v>
      </c>
      <c r="C19" s="171" t="s">
        <v>203</v>
      </c>
      <c r="D19" s="165"/>
      <c r="E19" s="165"/>
      <c r="F19" s="165" t="s">
        <v>203</v>
      </c>
      <c r="G19" s="167">
        <f>354+4+4.5-30.57</f>
        <v>331.93</v>
      </c>
      <c r="H19" s="167">
        <v>0</v>
      </c>
      <c r="I19" s="167">
        <f t="shared" si="0"/>
        <v>331.93</v>
      </c>
      <c r="J19" s="167">
        <v>331.93</v>
      </c>
      <c r="K19" s="167">
        <v>0</v>
      </c>
      <c r="L19" s="167">
        <f t="shared" si="1"/>
        <v>331.93</v>
      </c>
      <c r="M19" s="127">
        <f t="shared" si="2"/>
        <v>0</v>
      </c>
      <c r="N19" s="167">
        <f t="shared" si="3"/>
        <v>0</v>
      </c>
      <c r="O19" s="167">
        <f t="shared" si="4"/>
        <v>0</v>
      </c>
      <c r="P19" s="171" t="s">
        <v>203</v>
      </c>
      <c r="Q19" s="168"/>
      <c r="R19" s="128">
        <v>1</v>
      </c>
      <c r="S19" s="172">
        <v>0.8</v>
      </c>
      <c r="T19" s="169">
        <v>100</v>
      </c>
      <c r="U19" s="169">
        <v>100</v>
      </c>
      <c r="V19" s="169">
        <v>0</v>
      </c>
      <c r="W19" s="169">
        <v>97</v>
      </c>
      <c r="X19" s="169">
        <f t="shared" si="5"/>
        <v>3</v>
      </c>
    </row>
    <row r="20" spans="1:24" ht="16.149999999999999" customHeight="1" x14ac:dyDescent="0.2">
      <c r="A20" s="170" t="s">
        <v>588</v>
      </c>
      <c r="B20" s="171">
        <v>38022</v>
      </c>
      <c r="C20" s="171" t="s">
        <v>203</v>
      </c>
      <c r="D20" s="165"/>
      <c r="E20" s="165"/>
      <c r="F20" s="165" t="s">
        <v>203</v>
      </c>
      <c r="G20" s="167">
        <v>48</v>
      </c>
      <c r="H20" s="167">
        <v>0</v>
      </c>
      <c r="I20" s="167">
        <f t="shared" si="0"/>
        <v>48</v>
      </c>
      <c r="J20" s="167">
        <v>48</v>
      </c>
      <c r="K20" s="167">
        <v>0</v>
      </c>
      <c r="L20" s="167">
        <f t="shared" si="1"/>
        <v>48</v>
      </c>
      <c r="M20" s="127">
        <f t="shared" si="2"/>
        <v>0</v>
      </c>
      <c r="N20" s="167">
        <f t="shared" si="3"/>
        <v>0</v>
      </c>
      <c r="O20" s="167">
        <f t="shared" si="4"/>
        <v>0</v>
      </c>
      <c r="P20" s="171" t="s">
        <v>203</v>
      </c>
      <c r="Q20" s="168"/>
      <c r="R20" s="128">
        <v>1</v>
      </c>
      <c r="S20" s="172">
        <v>1</v>
      </c>
      <c r="T20" s="169">
        <v>13</v>
      </c>
      <c r="U20" s="169">
        <v>13</v>
      </c>
      <c r="V20" s="169">
        <v>0</v>
      </c>
      <c r="W20" s="169">
        <v>13</v>
      </c>
      <c r="X20" s="169">
        <f t="shared" si="5"/>
        <v>0</v>
      </c>
    </row>
    <row r="21" spans="1:24" ht="16.149999999999999" customHeight="1" x14ac:dyDescent="0.2">
      <c r="A21" s="170" t="s">
        <v>589</v>
      </c>
      <c r="B21" s="171">
        <v>36840</v>
      </c>
      <c r="C21" s="171">
        <v>37263</v>
      </c>
      <c r="D21" s="165"/>
      <c r="E21" s="165"/>
      <c r="F21" s="165">
        <v>37925</v>
      </c>
      <c r="G21" s="167">
        <v>598.42999999999995</v>
      </c>
      <c r="H21" s="167">
        <v>0</v>
      </c>
      <c r="I21" s="167">
        <f t="shared" si="0"/>
        <v>598.42999999999995</v>
      </c>
      <c r="J21" s="167">
        <v>598.42999999999995</v>
      </c>
      <c r="K21" s="167">
        <v>0</v>
      </c>
      <c r="L21" s="167">
        <f t="shared" si="1"/>
        <v>598.42999999999995</v>
      </c>
      <c r="M21" s="127">
        <f t="shared" si="2"/>
        <v>0</v>
      </c>
      <c r="N21" s="167">
        <f t="shared" si="3"/>
        <v>0</v>
      </c>
      <c r="O21" s="167">
        <f t="shared" si="4"/>
        <v>0</v>
      </c>
      <c r="P21" s="167">
        <v>0</v>
      </c>
      <c r="Q21" s="168"/>
      <c r="R21" s="172">
        <v>1</v>
      </c>
      <c r="S21" s="172">
        <v>1</v>
      </c>
      <c r="T21" s="169">
        <v>239</v>
      </c>
      <c r="U21" s="169">
        <v>239</v>
      </c>
      <c r="V21" s="169">
        <v>0</v>
      </c>
      <c r="W21" s="169">
        <v>239</v>
      </c>
      <c r="X21" s="169">
        <f t="shared" si="5"/>
        <v>0</v>
      </c>
    </row>
    <row r="22" spans="1:24" ht="16.149999999999999" customHeight="1" x14ac:dyDescent="0.2">
      <c r="A22" s="173" t="s">
        <v>590</v>
      </c>
      <c r="B22" s="171">
        <v>37236</v>
      </c>
      <c r="C22" s="171">
        <v>37428</v>
      </c>
      <c r="D22" s="165"/>
      <c r="E22" s="165"/>
      <c r="F22" s="165">
        <v>38017</v>
      </c>
      <c r="G22" s="167">
        <v>289.35000000000002</v>
      </c>
      <c r="H22" s="167">
        <v>0</v>
      </c>
      <c r="I22" s="167">
        <f t="shared" si="0"/>
        <v>289.35000000000002</v>
      </c>
      <c r="J22" s="167">
        <v>289.35000000000002</v>
      </c>
      <c r="K22" s="167">
        <v>0</v>
      </c>
      <c r="L22" s="167">
        <f t="shared" si="1"/>
        <v>289.35000000000002</v>
      </c>
      <c r="M22" s="127">
        <f t="shared" si="2"/>
        <v>0</v>
      </c>
      <c r="N22" s="167">
        <f t="shared" si="3"/>
        <v>0</v>
      </c>
      <c r="O22" s="167">
        <f t="shared" si="4"/>
        <v>0</v>
      </c>
      <c r="P22" s="167">
        <v>0</v>
      </c>
      <c r="Q22" s="168"/>
      <c r="R22" s="128">
        <v>1</v>
      </c>
      <c r="S22" s="128">
        <v>1</v>
      </c>
      <c r="T22" s="174">
        <v>80</v>
      </c>
      <c r="U22" s="174">
        <v>80</v>
      </c>
      <c r="V22" s="174">
        <v>0</v>
      </c>
      <c r="W22" s="169">
        <v>80</v>
      </c>
      <c r="X22" s="169">
        <f t="shared" si="5"/>
        <v>0</v>
      </c>
    </row>
    <row r="23" spans="1:24" s="175" customFormat="1" ht="16.149999999999999" customHeight="1" x14ac:dyDescent="0.2">
      <c r="A23" s="173" t="s">
        <v>591</v>
      </c>
      <c r="B23" s="171">
        <v>38050</v>
      </c>
      <c r="C23" s="171" t="s">
        <v>203</v>
      </c>
      <c r="D23" s="165"/>
      <c r="E23" s="165"/>
      <c r="F23" s="165" t="s">
        <v>203</v>
      </c>
      <c r="G23" s="167">
        <v>39.75</v>
      </c>
      <c r="H23" s="167">
        <v>0</v>
      </c>
      <c r="I23" s="167">
        <f t="shared" si="0"/>
        <v>39.75</v>
      </c>
      <c r="J23" s="167">
        <v>39.75</v>
      </c>
      <c r="K23" s="167">
        <v>0</v>
      </c>
      <c r="L23" s="167">
        <f t="shared" si="1"/>
        <v>39.75</v>
      </c>
      <c r="M23" s="127">
        <f t="shared" si="2"/>
        <v>0</v>
      </c>
      <c r="N23" s="167">
        <f t="shared" si="3"/>
        <v>0</v>
      </c>
      <c r="O23" s="167">
        <f t="shared" si="4"/>
        <v>0</v>
      </c>
      <c r="P23" s="171" t="s">
        <v>203</v>
      </c>
      <c r="Q23" s="168"/>
      <c r="R23" s="128">
        <v>1</v>
      </c>
      <c r="S23" s="128">
        <v>1</v>
      </c>
      <c r="T23" s="174">
        <v>9</v>
      </c>
      <c r="U23" s="174">
        <v>9</v>
      </c>
      <c r="V23" s="174">
        <v>0</v>
      </c>
      <c r="W23" s="169">
        <v>9</v>
      </c>
      <c r="X23" s="169">
        <f t="shared" si="5"/>
        <v>0</v>
      </c>
    </row>
    <row r="24" spans="1:24" s="175" customFormat="1" ht="16.149999999999999" customHeight="1" x14ac:dyDescent="0.2">
      <c r="A24" s="173" t="s">
        <v>592</v>
      </c>
      <c r="B24" s="171">
        <v>38029</v>
      </c>
      <c r="C24" s="171">
        <v>38451</v>
      </c>
      <c r="D24" s="165"/>
      <c r="E24" s="165"/>
      <c r="F24" s="165">
        <v>39782</v>
      </c>
      <c r="G24" s="167">
        <f>1110.07+48.12-34.0072</f>
        <v>1124.1827999999998</v>
      </c>
      <c r="H24" s="167">
        <v>0</v>
      </c>
      <c r="I24" s="167">
        <f t="shared" si="0"/>
        <v>1124.1827999999998</v>
      </c>
      <c r="J24" s="167">
        <f>619.05+196.8+143.49+19.67921356+15.68311992+59.80073135+10.26318672+19.02958368+9.69698146+21.08+3.44+5.26+0.91</f>
        <v>1124.18281669</v>
      </c>
      <c r="K24" s="167">
        <v>0</v>
      </c>
      <c r="L24" s="167">
        <f t="shared" si="1"/>
        <v>1124.18281669</v>
      </c>
      <c r="M24" s="127">
        <f t="shared" si="2"/>
        <v>-1.6690000165908714E-5</v>
      </c>
      <c r="N24" s="167">
        <f t="shared" si="3"/>
        <v>0</v>
      </c>
      <c r="O24" s="167">
        <f t="shared" si="4"/>
        <v>-1.6690000165908714E-5</v>
      </c>
      <c r="P24" s="167">
        <v>0</v>
      </c>
      <c r="Q24" s="168"/>
      <c r="R24" s="128">
        <v>1</v>
      </c>
      <c r="S24" s="128">
        <v>1</v>
      </c>
      <c r="T24" s="174">
        <v>245</v>
      </c>
      <c r="U24" s="174">
        <v>245</v>
      </c>
      <c r="V24" s="174">
        <v>0</v>
      </c>
      <c r="W24" s="169">
        <v>245</v>
      </c>
      <c r="X24" s="169">
        <f t="shared" si="5"/>
        <v>0</v>
      </c>
    </row>
    <row r="25" spans="1:24" s="175" customFormat="1" ht="16.149999999999999" customHeight="1" x14ac:dyDescent="0.2">
      <c r="A25" s="173" t="s">
        <v>208</v>
      </c>
      <c r="B25" s="171" t="s">
        <v>209</v>
      </c>
      <c r="C25" s="171" t="s">
        <v>203</v>
      </c>
      <c r="D25" s="165"/>
      <c r="E25" s="165"/>
      <c r="F25" s="165" t="s">
        <v>203</v>
      </c>
      <c r="G25" s="167">
        <f>31.91+93.87+7.88+15.09-5.6</f>
        <v>143.15</v>
      </c>
      <c r="H25" s="167">
        <v>0</v>
      </c>
      <c r="I25" s="167">
        <f t="shared" si="0"/>
        <v>143.15</v>
      </c>
      <c r="J25" s="167">
        <f>143.15</f>
        <v>143.15</v>
      </c>
      <c r="K25" s="167">
        <v>0</v>
      </c>
      <c r="L25" s="167">
        <f t="shared" si="1"/>
        <v>143.15</v>
      </c>
      <c r="M25" s="127">
        <f t="shared" si="2"/>
        <v>0</v>
      </c>
      <c r="N25" s="167">
        <f t="shared" si="3"/>
        <v>0</v>
      </c>
      <c r="O25" s="167">
        <f t="shared" si="4"/>
        <v>0</v>
      </c>
      <c r="P25" s="171" t="s">
        <v>203</v>
      </c>
      <c r="Q25" s="168"/>
      <c r="R25" s="128">
        <v>1</v>
      </c>
      <c r="S25" s="128">
        <v>0.8</v>
      </c>
      <c r="T25" s="174">
        <f>9+26+4</f>
        <v>39</v>
      </c>
      <c r="U25" s="174">
        <f>9+26+4</f>
        <v>39</v>
      </c>
      <c r="V25" s="174">
        <v>0</v>
      </c>
      <c r="W25" s="169">
        <v>38</v>
      </c>
      <c r="X25" s="169">
        <f t="shared" si="5"/>
        <v>1</v>
      </c>
    </row>
    <row r="26" spans="1:24" s="175" customFormat="1" ht="16.149999999999999" customHeight="1" x14ac:dyDescent="0.2">
      <c r="A26" s="173" t="s">
        <v>593</v>
      </c>
      <c r="B26" s="171">
        <v>38239</v>
      </c>
      <c r="C26" s="171">
        <v>38625</v>
      </c>
      <c r="D26" s="165"/>
      <c r="E26" s="165"/>
      <c r="F26" s="165">
        <v>38686</v>
      </c>
      <c r="G26" s="167">
        <v>197.73</v>
      </c>
      <c r="H26" s="167">
        <v>0</v>
      </c>
      <c r="I26" s="167">
        <f t="shared" si="0"/>
        <v>197.73</v>
      </c>
      <c r="J26" s="167">
        <f>18.59+21.92+74.27+42.48+17.63+7.62+5.33+9.89</f>
        <v>197.73000000000002</v>
      </c>
      <c r="K26" s="167">
        <v>0</v>
      </c>
      <c r="L26" s="167">
        <f t="shared" si="1"/>
        <v>197.73000000000002</v>
      </c>
      <c r="M26" s="127">
        <f t="shared" si="2"/>
        <v>0</v>
      </c>
      <c r="N26" s="167">
        <f t="shared" si="3"/>
        <v>0</v>
      </c>
      <c r="O26" s="167">
        <f t="shared" si="4"/>
        <v>0</v>
      </c>
      <c r="P26" s="167">
        <f>18.59+21.92+74.27+42.48+17.63+7.62+5.33+9.89-193.34-2.48-1.91</f>
        <v>1.4876988529977098E-14</v>
      </c>
      <c r="Q26" s="168"/>
      <c r="R26" s="128">
        <v>1</v>
      </c>
      <c r="S26" s="128">
        <v>1</v>
      </c>
      <c r="T26" s="169">
        <v>45</v>
      </c>
      <c r="U26" s="169">
        <v>45</v>
      </c>
      <c r="V26" s="169">
        <v>0</v>
      </c>
      <c r="W26" s="169">
        <v>45</v>
      </c>
      <c r="X26" s="169">
        <f t="shared" si="5"/>
        <v>0</v>
      </c>
    </row>
    <row r="27" spans="1:24" s="175" customFormat="1" ht="16.149999999999999" customHeight="1" x14ac:dyDescent="0.2">
      <c r="A27" s="176" t="s">
        <v>594</v>
      </c>
      <c r="B27" s="171">
        <v>38274</v>
      </c>
      <c r="C27" s="171">
        <v>38673</v>
      </c>
      <c r="D27" s="165"/>
      <c r="E27" s="165"/>
      <c r="F27" s="165">
        <v>39294</v>
      </c>
      <c r="G27" s="167">
        <v>679.20500000000004</v>
      </c>
      <c r="H27" s="167">
        <v>0</v>
      </c>
      <c r="I27" s="167">
        <f t="shared" si="0"/>
        <v>679.20500000000004</v>
      </c>
      <c r="J27" s="167">
        <v>679.20500000000004</v>
      </c>
      <c r="K27" s="167">
        <v>0</v>
      </c>
      <c r="L27" s="167">
        <f t="shared" si="1"/>
        <v>679.20500000000004</v>
      </c>
      <c r="M27" s="127">
        <f t="shared" si="2"/>
        <v>0</v>
      </c>
      <c r="N27" s="167">
        <f t="shared" si="3"/>
        <v>0</v>
      </c>
      <c r="O27" s="167">
        <f t="shared" si="4"/>
        <v>0</v>
      </c>
      <c r="P27" s="167">
        <v>0</v>
      </c>
      <c r="Q27" s="168"/>
      <c r="R27" s="128">
        <v>1</v>
      </c>
      <c r="S27" s="128">
        <v>1</v>
      </c>
      <c r="T27" s="169">
        <v>157</v>
      </c>
      <c r="U27" s="169">
        <v>157</v>
      </c>
      <c r="V27" s="169">
        <v>0</v>
      </c>
      <c r="W27" s="169">
        <v>157</v>
      </c>
      <c r="X27" s="169">
        <f t="shared" si="5"/>
        <v>0</v>
      </c>
    </row>
    <row r="28" spans="1:24" s="175" customFormat="1" ht="16.149999999999999" customHeight="1" x14ac:dyDescent="0.2">
      <c r="A28" s="170" t="s">
        <v>595</v>
      </c>
      <c r="B28" s="171">
        <v>38302</v>
      </c>
      <c r="C28" s="171" t="s">
        <v>203</v>
      </c>
      <c r="D28" s="165"/>
      <c r="E28" s="165"/>
      <c r="F28" s="165" t="s">
        <v>203</v>
      </c>
      <c r="G28" s="167">
        <f>311.28-0.08</f>
        <v>311.2</v>
      </c>
      <c r="H28" s="167">
        <v>0</v>
      </c>
      <c r="I28" s="167">
        <f t="shared" si="0"/>
        <v>311.2</v>
      </c>
      <c r="J28" s="167">
        <f>284.65+26.55</f>
        <v>311.2</v>
      </c>
      <c r="K28" s="167">
        <v>0</v>
      </c>
      <c r="L28" s="167">
        <f t="shared" si="1"/>
        <v>311.2</v>
      </c>
      <c r="M28" s="127">
        <f t="shared" si="2"/>
        <v>0</v>
      </c>
      <c r="N28" s="167">
        <f t="shared" si="3"/>
        <v>0</v>
      </c>
      <c r="O28" s="167">
        <f t="shared" si="4"/>
        <v>0</v>
      </c>
      <c r="P28" s="171" t="s">
        <v>203</v>
      </c>
      <c r="Q28" s="168"/>
      <c r="R28" s="128">
        <v>1</v>
      </c>
      <c r="S28" s="128">
        <v>1</v>
      </c>
      <c r="T28" s="169">
        <v>71</v>
      </c>
      <c r="U28" s="169">
        <v>71</v>
      </c>
      <c r="V28" s="169">
        <v>0</v>
      </c>
      <c r="W28" s="169">
        <v>71</v>
      </c>
      <c r="X28" s="169">
        <f t="shared" si="5"/>
        <v>0</v>
      </c>
    </row>
    <row r="29" spans="1:24" s="175" customFormat="1" ht="16.149999999999999" customHeight="1" x14ac:dyDescent="0.2">
      <c r="A29" s="170" t="s">
        <v>596</v>
      </c>
      <c r="B29" s="171">
        <v>38400</v>
      </c>
      <c r="C29" s="171" t="s">
        <v>203</v>
      </c>
      <c r="D29" s="165"/>
      <c r="E29" s="165"/>
      <c r="F29" s="165" t="s">
        <v>203</v>
      </c>
      <c r="G29" s="167">
        <f>144.76+23.37-9.65</f>
        <v>158.47999999999999</v>
      </c>
      <c r="H29" s="167">
        <v>0</v>
      </c>
      <c r="I29" s="167">
        <f t="shared" si="0"/>
        <v>158.47999999999999</v>
      </c>
      <c r="J29" s="167">
        <v>158.47999999999999</v>
      </c>
      <c r="K29" s="167">
        <v>0</v>
      </c>
      <c r="L29" s="167">
        <f t="shared" si="1"/>
        <v>158.47999999999999</v>
      </c>
      <c r="M29" s="127">
        <f t="shared" si="2"/>
        <v>0</v>
      </c>
      <c r="N29" s="167">
        <f t="shared" si="3"/>
        <v>0</v>
      </c>
      <c r="O29" s="167">
        <f t="shared" si="4"/>
        <v>0</v>
      </c>
      <c r="P29" s="171" t="s">
        <v>203</v>
      </c>
      <c r="Q29" s="168"/>
      <c r="R29" s="128">
        <v>1</v>
      </c>
      <c r="S29" s="128">
        <v>1</v>
      </c>
      <c r="T29" s="169">
        <v>37</v>
      </c>
      <c r="U29" s="169">
        <v>37</v>
      </c>
      <c r="V29" s="169">
        <v>0</v>
      </c>
      <c r="W29" s="169">
        <v>35</v>
      </c>
      <c r="X29" s="169">
        <f t="shared" si="5"/>
        <v>2</v>
      </c>
    </row>
    <row r="30" spans="1:24" s="175" customFormat="1" ht="16.149999999999999" customHeight="1" x14ac:dyDescent="0.2">
      <c r="A30" s="170" t="s">
        <v>597</v>
      </c>
      <c r="B30" s="171">
        <v>38400</v>
      </c>
      <c r="C30" s="171">
        <v>38772</v>
      </c>
      <c r="D30" s="165"/>
      <c r="E30" s="165"/>
      <c r="F30" s="165">
        <v>39141</v>
      </c>
      <c r="G30" s="167">
        <v>544.69000000000005</v>
      </c>
      <c r="H30" s="167">
        <v>0</v>
      </c>
      <c r="I30" s="167">
        <f t="shared" si="0"/>
        <v>544.69000000000005</v>
      </c>
      <c r="J30" s="167">
        <v>544.69000000000005</v>
      </c>
      <c r="K30" s="167">
        <v>0</v>
      </c>
      <c r="L30" s="167">
        <f t="shared" si="1"/>
        <v>544.69000000000005</v>
      </c>
      <c r="M30" s="127">
        <f t="shared" si="2"/>
        <v>0</v>
      </c>
      <c r="N30" s="167">
        <f t="shared" si="3"/>
        <v>0</v>
      </c>
      <c r="O30" s="167">
        <f t="shared" si="4"/>
        <v>0</v>
      </c>
      <c r="P30" s="167">
        <v>0</v>
      </c>
      <c r="Q30" s="168"/>
      <c r="R30" s="128">
        <v>0.99180000000000001</v>
      </c>
      <c r="S30" s="128">
        <v>1</v>
      </c>
      <c r="T30" s="169">
        <v>108</v>
      </c>
      <c r="U30" s="169">
        <v>108</v>
      </c>
      <c r="V30" s="169">
        <v>0</v>
      </c>
      <c r="W30" s="169">
        <v>108</v>
      </c>
      <c r="X30" s="169">
        <f t="shared" si="5"/>
        <v>0</v>
      </c>
    </row>
    <row r="31" spans="1:24" s="175" customFormat="1" ht="16.149999999999999" customHeight="1" x14ac:dyDescent="0.2">
      <c r="A31" s="170" t="s">
        <v>598</v>
      </c>
      <c r="B31" s="171">
        <v>38771</v>
      </c>
      <c r="C31" s="171" t="s">
        <v>203</v>
      </c>
      <c r="D31" s="165"/>
      <c r="E31" s="165"/>
      <c r="F31" s="165" t="s">
        <v>203</v>
      </c>
      <c r="G31" s="167">
        <f>200.68804-20.5292</f>
        <v>180.15884</v>
      </c>
      <c r="H31" s="167">
        <v>0</v>
      </c>
      <c r="I31" s="167">
        <f t="shared" si="0"/>
        <v>180.15884</v>
      </c>
      <c r="J31" s="167">
        <v>180.15880799999999</v>
      </c>
      <c r="K31" s="167">
        <v>0</v>
      </c>
      <c r="L31" s="167">
        <f t="shared" si="1"/>
        <v>180.15880799999999</v>
      </c>
      <c r="M31" s="127">
        <f t="shared" si="2"/>
        <v>3.2000000004472895E-5</v>
      </c>
      <c r="N31" s="167">
        <f t="shared" si="3"/>
        <v>0</v>
      </c>
      <c r="O31" s="167">
        <f t="shared" si="4"/>
        <v>3.2000000004472895E-5</v>
      </c>
      <c r="P31" s="171" t="s">
        <v>203</v>
      </c>
      <c r="Q31" s="168"/>
      <c r="R31" s="128">
        <v>0.65</v>
      </c>
      <c r="S31" s="128">
        <v>0.61599999999999999</v>
      </c>
      <c r="T31" s="169">
        <v>41</v>
      </c>
      <c r="U31" s="169">
        <v>41</v>
      </c>
      <c r="V31" s="169">
        <v>0</v>
      </c>
      <c r="W31" s="169">
        <v>37</v>
      </c>
      <c r="X31" s="169">
        <f t="shared" si="5"/>
        <v>4</v>
      </c>
    </row>
    <row r="32" spans="1:24" s="175" customFormat="1" ht="16.149999999999999" customHeight="1" x14ac:dyDescent="0.2">
      <c r="A32" s="170" t="s">
        <v>599</v>
      </c>
      <c r="B32" s="171">
        <v>38841</v>
      </c>
      <c r="C32" s="171" t="s">
        <v>203</v>
      </c>
      <c r="D32" s="165"/>
      <c r="E32" s="165"/>
      <c r="F32" s="165" t="s">
        <v>203</v>
      </c>
      <c r="G32" s="167">
        <f>193.91303147-0.0015</f>
        <v>193.91153147</v>
      </c>
      <c r="H32" s="167">
        <v>0</v>
      </c>
      <c r="I32" s="167">
        <f t="shared" si="0"/>
        <v>193.91153147</v>
      </c>
      <c r="J32" s="167">
        <v>193.91155599999999</v>
      </c>
      <c r="K32" s="167">
        <v>0</v>
      </c>
      <c r="L32" s="167">
        <f t="shared" si="1"/>
        <v>193.91155599999999</v>
      </c>
      <c r="M32" s="127">
        <f t="shared" si="2"/>
        <v>-2.4529999990363649E-5</v>
      </c>
      <c r="N32" s="167">
        <f t="shared" si="3"/>
        <v>0</v>
      </c>
      <c r="O32" s="167">
        <f t="shared" si="4"/>
        <v>-2.4529999990363649E-5</v>
      </c>
      <c r="P32" s="171" t="s">
        <v>203</v>
      </c>
      <c r="Q32" s="168"/>
      <c r="R32" s="128">
        <v>1</v>
      </c>
      <c r="S32" s="128">
        <v>1</v>
      </c>
      <c r="T32" s="169">
        <v>30</v>
      </c>
      <c r="U32" s="169">
        <v>30</v>
      </c>
      <c r="V32" s="169">
        <v>0</v>
      </c>
      <c r="W32" s="169">
        <v>30</v>
      </c>
      <c r="X32" s="169">
        <f t="shared" si="5"/>
        <v>0</v>
      </c>
    </row>
    <row r="33" spans="1:24" s="175" customFormat="1" ht="16.149999999999999" customHeight="1" x14ac:dyDescent="0.2">
      <c r="A33" s="170" t="s">
        <v>600</v>
      </c>
      <c r="B33" s="171">
        <v>38953</v>
      </c>
      <c r="C33" s="171" t="s">
        <v>203</v>
      </c>
      <c r="D33" s="165"/>
      <c r="E33" s="165"/>
      <c r="F33" s="165" t="s">
        <v>203</v>
      </c>
      <c r="G33" s="167">
        <f>6.2*11</f>
        <v>68.2</v>
      </c>
      <c r="H33" s="167">
        <v>0</v>
      </c>
      <c r="I33" s="167">
        <f t="shared" si="0"/>
        <v>68.2</v>
      </c>
      <c r="J33" s="167">
        <v>68.2</v>
      </c>
      <c r="K33" s="167">
        <v>0</v>
      </c>
      <c r="L33" s="167">
        <f t="shared" si="1"/>
        <v>68.2</v>
      </c>
      <c r="M33" s="127">
        <f t="shared" si="2"/>
        <v>0</v>
      </c>
      <c r="N33" s="167">
        <f t="shared" si="3"/>
        <v>0</v>
      </c>
      <c r="O33" s="167">
        <f t="shared" si="4"/>
        <v>0</v>
      </c>
      <c r="P33" s="171" t="s">
        <v>203</v>
      </c>
      <c r="Q33" s="168"/>
      <c r="R33" s="128">
        <v>1</v>
      </c>
      <c r="S33" s="128">
        <v>1</v>
      </c>
      <c r="T33" s="169">
        <v>11</v>
      </c>
      <c r="U33" s="169">
        <v>11</v>
      </c>
      <c r="V33" s="169">
        <v>0</v>
      </c>
      <c r="W33" s="169">
        <v>11</v>
      </c>
      <c r="X33" s="169">
        <f t="shared" si="5"/>
        <v>0</v>
      </c>
    </row>
    <row r="34" spans="1:24" s="175" customFormat="1" ht="16.149999999999999" customHeight="1" x14ac:dyDescent="0.2">
      <c r="A34" s="170" t="s">
        <v>601</v>
      </c>
      <c r="B34" s="177" t="s">
        <v>602</v>
      </c>
      <c r="C34" s="171" t="s">
        <v>203</v>
      </c>
      <c r="D34" s="165" t="s">
        <v>203</v>
      </c>
      <c r="E34" s="165" t="s">
        <v>203</v>
      </c>
      <c r="F34" s="165" t="s">
        <v>203</v>
      </c>
      <c r="G34" s="167">
        <f>96.72+67.71+11.74+12.12</f>
        <v>188.29000000000002</v>
      </c>
      <c r="H34" s="167">
        <v>0</v>
      </c>
      <c r="I34" s="167">
        <f t="shared" si="0"/>
        <v>188.29000000000002</v>
      </c>
      <c r="J34" s="167">
        <v>188.29</v>
      </c>
      <c r="K34" s="167">
        <v>0</v>
      </c>
      <c r="L34" s="167">
        <f t="shared" si="1"/>
        <v>188.29</v>
      </c>
      <c r="M34" s="127">
        <f t="shared" si="2"/>
        <v>0</v>
      </c>
      <c r="N34" s="167">
        <f t="shared" si="3"/>
        <v>0</v>
      </c>
      <c r="O34" s="167">
        <f t="shared" si="4"/>
        <v>0</v>
      </c>
      <c r="P34" s="171" t="s">
        <v>203</v>
      </c>
      <c r="Q34" s="168"/>
      <c r="R34" s="128">
        <v>1</v>
      </c>
      <c r="S34" s="128">
        <v>1</v>
      </c>
      <c r="T34" s="169">
        <f>17+1+1</f>
        <v>19</v>
      </c>
      <c r="U34" s="169">
        <f>17+1+1</f>
        <v>19</v>
      </c>
      <c r="V34" s="169">
        <v>0</v>
      </c>
      <c r="W34" s="169">
        <v>19</v>
      </c>
      <c r="X34" s="169">
        <f t="shared" si="5"/>
        <v>0</v>
      </c>
    </row>
    <row r="35" spans="1:24" s="175" customFormat="1" ht="16.149999999999999" customHeight="1" x14ac:dyDescent="0.2">
      <c r="A35" s="170" t="s">
        <v>603</v>
      </c>
      <c r="B35" s="171" t="s">
        <v>604</v>
      </c>
      <c r="C35" s="171" t="s">
        <v>203</v>
      </c>
      <c r="D35" s="165" t="s">
        <v>203</v>
      </c>
      <c r="E35" s="165" t="s">
        <v>203</v>
      </c>
      <c r="F35" s="165" t="s">
        <v>203</v>
      </c>
      <c r="G35" s="167">
        <f>188.29+227.84+118.11+48.9+187.21+50.81+256.56+80.81+102.7+113.18+122.52+69.54+81.39-49.01+9.77+9.78+19.79</f>
        <v>1638.19</v>
      </c>
      <c r="H35" s="167">
        <v>0</v>
      </c>
      <c r="I35" s="167">
        <f t="shared" si="0"/>
        <v>1638.19</v>
      </c>
      <c r="J35" s="167">
        <f>H35+I35</f>
        <v>1638.19</v>
      </c>
      <c r="K35" s="167">
        <v>0</v>
      </c>
      <c r="L35" s="167">
        <f t="shared" si="1"/>
        <v>1638.19</v>
      </c>
      <c r="M35" s="127">
        <f t="shared" si="2"/>
        <v>0</v>
      </c>
      <c r="N35" s="167">
        <f t="shared" si="3"/>
        <v>0</v>
      </c>
      <c r="O35" s="167">
        <f t="shared" si="4"/>
        <v>0</v>
      </c>
      <c r="P35" s="171" t="s">
        <v>203</v>
      </c>
      <c r="Q35" s="168"/>
      <c r="R35" s="128">
        <v>1</v>
      </c>
      <c r="S35" s="128">
        <v>1</v>
      </c>
      <c r="T35" s="169">
        <f>117+10+11+12+7+8-5+1+1+2</f>
        <v>164</v>
      </c>
      <c r="U35" s="169">
        <f>117+10+11+12+7+8-5+1+1+2</f>
        <v>164</v>
      </c>
      <c r="V35" s="169">
        <v>0</v>
      </c>
      <c r="W35" s="169">
        <v>164</v>
      </c>
      <c r="X35" s="169">
        <f t="shared" si="5"/>
        <v>0</v>
      </c>
    </row>
    <row r="36" spans="1:24" s="175" customFormat="1" ht="16.149999999999999" customHeight="1" x14ac:dyDescent="0.2">
      <c r="A36" s="170" t="s">
        <v>605</v>
      </c>
      <c r="B36" s="177" t="s">
        <v>606</v>
      </c>
      <c r="C36" s="171" t="s">
        <v>203</v>
      </c>
      <c r="D36" s="165" t="s">
        <v>203</v>
      </c>
      <c r="E36" s="165" t="s">
        <v>203</v>
      </c>
      <c r="F36" s="165" t="s">
        <v>203</v>
      </c>
      <c r="G36" s="167">
        <f>468.02+117+10.64+34.45+21.91+497.96+355.39+50.61+670.15+12.37+103.55+61.11-10.817638</f>
        <v>2392.3423619999999</v>
      </c>
      <c r="H36" s="167">
        <v>0</v>
      </c>
      <c r="I36" s="167">
        <f t="shared" si="0"/>
        <v>2392.3423619999999</v>
      </c>
      <c r="J36" s="167">
        <f>457.26+116.99+10.64+34.45+21.91+460.68+24.87+355.38+50.61+657.37+115.92+49.05+12.06+12.76+12.4-0.0076</f>
        <v>2392.3424000000005</v>
      </c>
      <c r="K36" s="167">
        <v>0</v>
      </c>
      <c r="L36" s="167">
        <f t="shared" si="1"/>
        <v>2392.3424000000005</v>
      </c>
      <c r="M36" s="127">
        <f t="shared" si="2"/>
        <v>-3.8000000586180249E-5</v>
      </c>
      <c r="N36" s="167">
        <f t="shared" si="3"/>
        <v>0</v>
      </c>
      <c r="O36" s="167">
        <f t="shared" si="4"/>
        <v>-3.8000000586180249E-5</v>
      </c>
      <c r="P36" s="171" t="s">
        <v>203</v>
      </c>
      <c r="Q36" s="168"/>
      <c r="R36" s="128">
        <v>1</v>
      </c>
      <c r="S36" s="128">
        <v>1</v>
      </c>
      <c r="T36" s="169">
        <f>44+11+1+3+2+40+28+4+52+1+8+5</f>
        <v>199</v>
      </c>
      <c r="U36" s="169">
        <f>44+11+1+3+2+40+28+4+52+1+8+5</f>
        <v>199</v>
      </c>
      <c r="V36" s="169">
        <v>0</v>
      </c>
      <c r="W36" s="169">
        <v>198</v>
      </c>
      <c r="X36" s="169">
        <f t="shared" si="5"/>
        <v>1</v>
      </c>
    </row>
    <row r="37" spans="1:24" s="175" customFormat="1" ht="16.149999999999999" customHeight="1" x14ac:dyDescent="0.2">
      <c r="A37" s="170" t="s">
        <v>607</v>
      </c>
      <c r="B37" s="177">
        <v>40756</v>
      </c>
      <c r="C37" s="171" t="s">
        <v>203</v>
      </c>
      <c r="D37" s="165" t="s">
        <v>203</v>
      </c>
      <c r="E37" s="165" t="s">
        <v>203</v>
      </c>
      <c r="F37" s="165" t="s">
        <v>203</v>
      </c>
      <c r="G37" s="167">
        <v>25.68</v>
      </c>
      <c r="H37" s="167">
        <v>0</v>
      </c>
      <c r="I37" s="167">
        <f t="shared" si="0"/>
        <v>25.68</v>
      </c>
      <c r="J37" s="167">
        <f>12.89+12.79</f>
        <v>25.68</v>
      </c>
      <c r="K37" s="167">
        <v>0</v>
      </c>
      <c r="L37" s="167">
        <f t="shared" si="1"/>
        <v>25.68</v>
      </c>
      <c r="M37" s="127">
        <f t="shared" si="2"/>
        <v>0</v>
      </c>
      <c r="N37" s="167">
        <f t="shared" si="3"/>
        <v>0</v>
      </c>
      <c r="O37" s="167">
        <f t="shared" si="4"/>
        <v>0</v>
      </c>
      <c r="P37" s="171" t="s">
        <v>203</v>
      </c>
      <c r="Q37" s="168"/>
      <c r="R37" s="128">
        <v>1</v>
      </c>
      <c r="S37" s="128">
        <v>1</v>
      </c>
      <c r="T37" s="169">
        <v>2</v>
      </c>
      <c r="U37" s="169">
        <v>2</v>
      </c>
      <c r="V37" s="169">
        <v>0</v>
      </c>
      <c r="W37" s="169">
        <v>2</v>
      </c>
      <c r="X37" s="169">
        <f t="shared" si="5"/>
        <v>0</v>
      </c>
    </row>
    <row r="38" spans="1:24" s="175" customFormat="1" ht="16.149999999999999" customHeight="1" x14ac:dyDescent="0.2">
      <c r="A38" s="173" t="s">
        <v>210</v>
      </c>
      <c r="B38" s="171" t="s">
        <v>608</v>
      </c>
      <c r="C38" s="171" t="s">
        <v>444</v>
      </c>
      <c r="D38" s="165" t="s">
        <v>459</v>
      </c>
      <c r="E38" s="165" t="s">
        <v>203</v>
      </c>
      <c r="F38" s="165" t="s">
        <v>460</v>
      </c>
      <c r="G38" s="167">
        <v>0</v>
      </c>
      <c r="H38" s="167">
        <f>767.92+125.63+30+1442.07-120.94+18.05+24.33+2.74+68.14-331.982664</f>
        <v>2025.9573359999995</v>
      </c>
      <c r="I38" s="167">
        <f t="shared" si="0"/>
        <v>2025.9573359999995</v>
      </c>
      <c r="J38" s="167">
        <v>0</v>
      </c>
      <c r="K38" s="167">
        <f>1860.49+54.68+11.59+61.2+8.23+8.6+0.03+7.77+1.09+5.51+4.63+1.58+0.559</f>
        <v>2025.9589999999998</v>
      </c>
      <c r="L38" s="167">
        <f t="shared" si="1"/>
        <v>2025.9589999999998</v>
      </c>
      <c r="M38" s="127">
        <f t="shared" si="2"/>
        <v>0</v>
      </c>
      <c r="N38" s="167">
        <f t="shared" si="3"/>
        <v>-1.6640000003462774E-3</v>
      </c>
      <c r="O38" s="167">
        <f t="shared" si="4"/>
        <v>-1.6640000003462774E-3</v>
      </c>
      <c r="P38" s="171" t="s">
        <v>203</v>
      </c>
      <c r="Q38" s="168"/>
      <c r="R38" s="128" t="s">
        <v>445</v>
      </c>
      <c r="S38" s="128">
        <v>1</v>
      </c>
      <c r="T38" s="169">
        <v>0</v>
      </c>
      <c r="U38" s="169">
        <v>521</v>
      </c>
      <c r="V38" s="169">
        <v>0</v>
      </c>
      <c r="W38" s="169">
        <v>0</v>
      </c>
      <c r="X38" s="169">
        <f t="shared" si="5"/>
        <v>0</v>
      </c>
    </row>
    <row r="39" spans="1:24" s="175" customFormat="1" ht="16.149999999999999" customHeight="1" x14ac:dyDescent="0.2">
      <c r="A39" s="173" t="s">
        <v>609</v>
      </c>
      <c r="B39" s="171" t="s">
        <v>610</v>
      </c>
      <c r="C39" s="171" t="s">
        <v>203</v>
      </c>
      <c r="D39" s="165" t="s">
        <v>203</v>
      </c>
      <c r="E39" s="165" t="s">
        <v>203</v>
      </c>
      <c r="F39" s="165" t="s">
        <v>203</v>
      </c>
      <c r="G39" s="167">
        <f>190.88+33.68+515.69</f>
        <v>740.25</v>
      </c>
      <c r="H39" s="167">
        <v>0</v>
      </c>
      <c r="I39" s="167">
        <f t="shared" si="0"/>
        <v>740.25</v>
      </c>
      <c r="J39" s="167">
        <v>740.25</v>
      </c>
      <c r="K39" s="167">
        <v>0</v>
      </c>
      <c r="L39" s="167">
        <f t="shared" si="1"/>
        <v>740.25</v>
      </c>
      <c r="M39" s="127">
        <f t="shared" si="2"/>
        <v>0</v>
      </c>
      <c r="N39" s="167">
        <f t="shared" si="3"/>
        <v>0</v>
      </c>
      <c r="O39" s="167">
        <f t="shared" si="4"/>
        <v>0</v>
      </c>
      <c r="P39" s="178" t="s">
        <v>203</v>
      </c>
      <c r="Q39" s="168"/>
      <c r="R39" s="128">
        <v>1</v>
      </c>
      <c r="S39" s="128">
        <v>1</v>
      </c>
      <c r="T39" s="169">
        <f>17+3+41</f>
        <v>61</v>
      </c>
      <c r="U39" s="169">
        <f>17+3+41</f>
        <v>61</v>
      </c>
      <c r="V39" s="169">
        <v>0</v>
      </c>
      <c r="W39" s="169">
        <v>61</v>
      </c>
      <c r="X39" s="169">
        <f t="shared" si="5"/>
        <v>0</v>
      </c>
    </row>
    <row r="40" spans="1:24" s="175" customFormat="1" ht="16.149999999999999" customHeight="1" x14ac:dyDescent="0.2">
      <c r="A40" s="173" t="s">
        <v>611</v>
      </c>
      <c r="B40" s="171" t="s">
        <v>612</v>
      </c>
      <c r="C40" s="171">
        <v>40594</v>
      </c>
      <c r="D40" s="165">
        <v>40698</v>
      </c>
      <c r="E40" s="165" t="s">
        <v>613</v>
      </c>
      <c r="F40" s="165" t="s">
        <v>614</v>
      </c>
      <c r="G40" s="167">
        <f>232.1+0.79</f>
        <v>232.89</v>
      </c>
      <c r="H40" s="167">
        <v>0</v>
      </c>
      <c r="I40" s="167">
        <f t="shared" si="0"/>
        <v>232.89</v>
      </c>
      <c r="J40" s="167">
        <f>119.12+27+14.79+3+3.2+18+3+3+10+10+15.32+4.55+0.46+0.79</f>
        <v>232.23</v>
      </c>
      <c r="K40" s="167">
        <v>0</v>
      </c>
      <c r="L40" s="167">
        <f t="shared" si="1"/>
        <v>232.23</v>
      </c>
      <c r="M40" s="127">
        <f t="shared" si="2"/>
        <v>0.65999999999999659</v>
      </c>
      <c r="N40" s="167">
        <f t="shared" si="3"/>
        <v>0</v>
      </c>
      <c r="O40" s="167">
        <f t="shared" si="4"/>
        <v>0.65999999999999659</v>
      </c>
      <c r="P40" s="167">
        <f>59.9-26.07+0.46-5.6-12.63-16.06</f>
        <v>0</v>
      </c>
      <c r="Q40" s="168"/>
      <c r="R40" s="128">
        <v>1</v>
      </c>
      <c r="S40" s="128">
        <v>1</v>
      </c>
      <c r="T40" s="169">
        <v>53</v>
      </c>
      <c r="U40" s="169">
        <v>60</v>
      </c>
      <c r="V40" s="169">
        <v>0</v>
      </c>
      <c r="W40" s="169">
        <v>53</v>
      </c>
      <c r="X40" s="169">
        <f t="shared" si="5"/>
        <v>0</v>
      </c>
    </row>
    <row r="41" spans="1:24" ht="16.149999999999999" customHeight="1" x14ac:dyDescent="0.2">
      <c r="A41" s="170" t="s">
        <v>615</v>
      </c>
      <c r="B41" s="179" t="s">
        <v>616</v>
      </c>
      <c r="C41" s="171" t="s">
        <v>203</v>
      </c>
      <c r="D41" s="165" t="s">
        <v>203</v>
      </c>
      <c r="E41" s="165" t="s">
        <v>203</v>
      </c>
      <c r="F41" s="165" t="s">
        <v>203</v>
      </c>
      <c r="G41" s="167">
        <v>73.28</v>
      </c>
      <c r="H41" s="167">
        <v>0</v>
      </c>
      <c r="I41" s="167">
        <f t="shared" si="0"/>
        <v>73.28</v>
      </c>
      <c r="J41" s="167">
        <v>73.28</v>
      </c>
      <c r="K41" s="167">
        <v>0</v>
      </c>
      <c r="L41" s="167">
        <f t="shared" si="1"/>
        <v>73.28</v>
      </c>
      <c r="M41" s="127">
        <f t="shared" si="2"/>
        <v>0</v>
      </c>
      <c r="N41" s="167">
        <f t="shared" si="3"/>
        <v>0</v>
      </c>
      <c r="O41" s="167">
        <f t="shared" si="4"/>
        <v>0</v>
      </c>
      <c r="P41" s="171" t="s">
        <v>203</v>
      </c>
      <c r="Q41" s="168"/>
      <c r="R41" s="128">
        <v>1</v>
      </c>
      <c r="S41" s="172">
        <v>1</v>
      </c>
      <c r="T41" s="169">
        <v>8</v>
      </c>
      <c r="U41" s="169">
        <v>8</v>
      </c>
      <c r="V41" s="169">
        <v>0</v>
      </c>
      <c r="W41" s="169">
        <v>8</v>
      </c>
      <c r="X41" s="169">
        <f t="shared" si="5"/>
        <v>0</v>
      </c>
    </row>
    <row r="42" spans="1:24" ht="16.149999999999999" customHeight="1" x14ac:dyDescent="0.2">
      <c r="A42" s="170" t="s">
        <v>617</v>
      </c>
      <c r="B42" s="180" t="s">
        <v>618</v>
      </c>
      <c r="C42" s="171" t="s">
        <v>203</v>
      </c>
      <c r="D42" s="165" t="s">
        <v>203</v>
      </c>
      <c r="E42" s="165" t="s">
        <v>203</v>
      </c>
      <c r="F42" s="165" t="s">
        <v>203</v>
      </c>
      <c r="G42" s="167">
        <f>255.81+216.52+81.89-11.18</f>
        <v>543.04000000000008</v>
      </c>
      <c r="H42" s="167">
        <v>0</v>
      </c>
      <c r="I42" s="167">
        <f t="shared" ref="I42:I73" si="6">G42+H42</f>
        <v>543.04000000000008</v>
      </c>
      <c r="J42" s="167">
        <f>44.04+22.04+78.13+33.68+33.66+11.02+11.03+11.04+95.5+47.98+36.89+36.14+81.89</f>
        <v>543.04</v>
      </c>
      <c r="K42" s="167">
        <v>0</v>
      </c>
      <c r="L42" s="167">
        <f t="shared" si="1"/>
        <v>543.04</v>
      </c>
      <c r="M42" s="127">
        <f t="shared" si="2"/>
        <v>0</v>
      </c>
      <c r="N42" s="167">
        <f t="shared" si="3"/>
        <v>0</v>
      </c>
      <c r="O42" s="167">
        <f t="shared" ref="O42:O73" si="7">M42+N42</f>
        <v>0</v>
      </c>
      <c r="P42" s="171" t="s">
        <v>203</v>
      </c>
      <c r="Q42" s="168"/>
      <c r="R42" s="128">
        <v>1</v>
      </c>
      <c r="S42" s="172">
        <v>1</v>
      </c>
      <c r="T42" s="169">
        <f>6+2+3+2+6+3+1+18+7</f>
        <v>48</v>
      </c>
      <c r="U42" s="169">
        <f>6+2+3+2+6+3+1+18+7</f>
        <v>48</v>
      </c>
      <c r="V42" s="169">
        <v>0</v>
      </c>
      <c r="W42" s="169">
        <v>47</v>
      </c>
      <c r="X42" s="169">
        <f t="shared" si="5"/>
        <v>1</v>
      </c>
    </row>
    <row r="43" spans="1:24" ht="16.149999999999999" customHeight="1" x14ac:dyDescent="0.2">
      <c r="A43" s="170" t="s">
        <v>619</v>
      </c>
      <c r="B43" s="179" t="s">
        <v>620</v>
      </c>
      <c r="C43" s="171" t="s">
        <v>203</v>
      </c>
      <c r="D43" s="165" t="s">
        <v>203</v>
      </c>
      <c r="E43" s="165" t="s">
        <v>203</v>
      </c>
      <c r="F43" s="165" t="s">
        <v>203</v>
      </c>
      <c r="G43" s="167">
        <v>66.09</v>
      </c>
      <c r="H43" s="167">
        <v>0</v>
      </c>
      <c r="I43" s="167">
        <f t="shared" si="6"/>
        <v>66.09</v>
      </c>
      <c r="J43" s="167">
        <v>66.09</v>
      </c>
      <c r="K43" s="167">
        <v>0</v>
      </c>
      <c r="L43" s="167">
        <f t="shared" si="1"/>
        <v>66.09</v>
      </c>
      <c r="M43" s="127">
        <f t="shared" si="2"/>
        <v>0</v>
      </c>
      <c r="N43" s="167">
        <f t="shared" si="3"/>
        <v>0</v>
      </c>
      <c r="O43" s="167">
        <f t="shared" si="7"/>
        <v>0</v>
      </c>
      <c r="P43" s="171" t="s">
        <v>203</v>
      </c>
      <c r="Q43" s="168"/>
      <c r="R43" s="128">
        <v>1</v>
      </c>
      <c r="S43" s="172">
        <v>1</v>
      </c>
      <c r="T43" s="169">
        <v>6</v>
      </c>
      <c r="U43" s="169">
        <v>6</v>
      </c>
      <c r="V43" s="169">
        <v>0</v>
      </c>
      <c r="W43" s="169">
        <v>6</v>
      </c>
      <c r="X43" s="169">
        <f t="shared" si="5"/>
        <v>0</v>
      </c>
    </row>
    <row r="44" spans="1:24" ht="16.149999999999999" customHeight="1" x14ac:dyDescent="0.2">
      <c r="A44" s="170" t="s">
        <v>621</v>
      </c>
      <c r="B44" s="179" t="s">
        <v>622</v>
      </c>
      <c r="C44" s="171" t="s">
        <v>203</v>
      </c>
      <c r="D44" s="165" t="s">
        <v>203</v>
      </c>
      <c r="E44" s="165" t="s">
        <v>203</v>
      </c>
      <c r="F44" s="165" t="s">
        <v>203</v>
      </c>
      <c r="G44" s="167">
        <f>345.18+25.77+38.78+25.65+315.45+38.49</f>
        <v>789.31999999999994</v>
      </c>
      <c r="H44" s="167">
        <v>0</v>
      </c>
      <c r="I44" s="167">
        <f t="shared" si="6"/>
        <v>789.31999999999994</v>
      </c>
      <c r="J44" s="167">
        <f>750.83+38.49</f>
        <v>789.32</v>
      </c>
      <c r="K44" s="167">
        <v>0</v>
      </c>
      <c r="L44" s="167">
        <f t="shared" si="1"/>
        <v>789.32</v>
      </c>
      <c r="M44" s="127">
        <f t="shared" si="2"/>
        <v>0</v>
      </c>
      <c r="N44" s="167">
        <f t="shared" si="3"/>
        <v>0</v>
      </c>
      <c r="O44" s="167">
        <f t="shared" si="7"/>
        <v>0</v>
      </c>
      <c r="P44" s="171" t="s">
        <v>203</v>
      </c>
      <c r="Q44" s="168"/>
      <c r="R44" s="128">
        <v>1</v>
      </c>
      <c r="S44" s="172">
        <v>1</v>
      </c>
      <c r="T44" s="169">
        <f>27+2+3+2+24+3</f>
        <v>61</v>
      </c>
      <c r="U44" s="169">
        <f>27+2+3+2+24+3</f>
        <v>61</v>
      </c>
      <c r="V44" s="169">
        <v>1</v>
      </c>
      <c r="W44" s="169">
        <v>61</v>
      </c>
      <c r="X44" s="169">
        <f t="shared" si="5"/>
        <v>0</v>
      </c>
    </row>
    <row r="45" spans="1:24" ht="16.149999999999999" customHeight="1" x14ac:dyDescent="0.2">
      <c r="A45" s="170" t="s">
        <v>623</v>
      </c>
      <c r="B45" s="179" t="s">
        <v>624</v>
      </c>
      <c r="C45" s="171" t="s">
        <v>203</v>
      </c>
      <c r="D45" s="165" t="s">
        <v>203</v>
      </c>
      <c r="E45" s="165" t="s">
        <v>203</v>
      </c>
      <c r="F45" s="165" t="s">
        <v>203</v>
      </c>
      <c r="G45" s="167">
        <f>93.56+30.8</f>
        <v>124.36</v>
      </c>
      <c r="H45" s="167">
        <v>0</v>
      </c>
      <c r="I45" s="167">
        <f t="shared" si="6"/>
        <v>124.36</v>
      </c>
      <c r="J45" s="167">
        <v>124.36</v>
      </c>
      <c r="K45" s="167">
        <v>0</v>
      </c>
      <c r="L45" s="167">
        <f t="shared" si="1"/>
        <v>124.36</v>
      </c>
      <c r="M45" s="127">
        <f t="shared" si="2"/>
        <v>0</v>
      </c>
      <c r="N45" s="167">
        <f t="shared" si="3"/>
        <v>0</v>
      </c>
      <c r="O45" s="167">
        <f t="shared" si="7"/>
        <v>0</v>
      </c>
      <c r="P45" s="171" t="s">
        <v>203</v>
      </c>
      <c r="Q45" s="168"/>
      <c r="R45" s="128">
        <v>1</v>
      </c>
      <c r="S45" s="172">
        <v>1</v>
      </c>
      <c r="T45" s="169">
        <f>9+3</f>
        <v>12</v>
      </c>
      <c r="U45" s="169">
        <f>9+3</f>
        <v>12</v>
      </c>
      <c r="V45" s="169">
        <v>0</v>
      </c>
      <c r="W45" s="169">
        <v>12</v>
      </c>
      <c r="X45" s="169">
        <f t="shared" si="5"/>
        <v>0</v>
      </c>
    </row>
    <row r="46" spans="1:24" ht="16.149999999999999" customHeight="1" x14ac:dyDescent="0.2">
      <c r="A46" s="170" t="s">
        <v>625</v>
      </c>
      <c r="B46" s="180" t="s">
        <v>626</v>
      </c>
      <c r="C46" s="171" t="s">
        <v>203</v>
      </c>
      <c r="D46" s="165" t="s">
        <v>203</v>
      </c>
      <c r="E46" s="165" t="s">
        <v>203</v>
      </c>
      <c r="F46" s="165" t="s">
        <v>203</v>
      </c>
      <c r="G46" s="167">
        <v>179.96</v>
      </c>
      <c r="H46" s="167">
        <v>0</v>
      </c>
      <c r="I46" s="167">
        <f t="shared" si="6"/>
        <v>179.96</v>
      </c>
      <c r="J46" s="167">
        <v>179.96</v>
      </c>
      <c r="K46" s="167">
        <v>0</v>
      </c>
      <c r="L46" s="167">
        <f t="shared" si="1"/>
        <v>179.96</v>
      </c>
      <c r="M46" s="127">
        <f t="shared" si="2"/>
        <v>0</v>
      </c>
      <c r="N46" s="167">
        <f t="shared" si="3"/>
        <v>0</v>
      </c>
      <c r="O46" s="167">
        <f t="shared" si="7"/>
        <v>0</v>
      </c>
      <c r="P46" s="171" t="s">
        <v>203</v>
      </c>
      <c r="Q46" s="168"/>
      <c r="R46" s="128">
        <v>1</v>
      </c>
      <c r="S46" s="172">
        <v>1</v>
      </c>
      <c r="T46" s="169">
        <v>16</v>
      </c>
      <c r="U46" s="169">
        <v>16</v>
      </c>
      <c r="V46" s="169">
        <v>0</v>
      </c>
      <c r="W46" s="169">
        <v>16</v>
      </c>
      <c r="X46" s="169">
        <f t="shared" si="5"/>
        <v>0</v>
      </c>
    </row>
    <row r="47" spans="1:24" ht="16.149999999999999" customHeight="1" x14ac:dyDescent="0.2">
      <c r="A47" s="170" t="s">
        <v>627</v>
      </c>
      <c r="B47" s="180" t="s">
        <v>628</v>
      </c>
      <c r="C47" s="171">
        <v>40841</v>
      </c>
      <c r="D47" s="165" t="s">
        <v>629</v>
      </c>
      <c r="E47" s="165" t="s">
        <v>629</v>
      </c>
      <c r="F47" s="165" t="s">
        <v>629</v>
      </c>
      <c r="G47" s="167">
        <f>2759.56+18.13-63.99</f>
        <v>2713.7000000000003</v>
      </c>
      <c r="H47" s="167">
        <v>0</v>
      </c>
      <c r="I47" s="167">
        <f t="shared" si="6"/>
        <v>2713.7000000000003</v>
      </c>
      <c r="J47" s="167">
        <f>403.83+146.28+101.41+140.74+169.21+233.05+180.44+257.34+165.18+141.73+280.53+137.8+197.34+47.31+38.91+54.47+18.13</f>
        <v>2713.7</v>
      </c>
      <c r="K47" s="167">
        <v>0</v>
      </c>
      <c r="L47" s="167">
        <f t="shared" si="1"/>
        <v>2713.7</v>
      </c>
      <c r="M47" s="127">
        <f t="shared" si="2"/>
        <v>0</v>
      </c>
      <c r="N47" s="167">
        <f t="shared" si="3"/>
        <v>0</v>
      </c>
      <c r="O47" s="167">
        <f t="shared" si="7"/>
        <v>0</v>
      </c>
      <c r="P47" s="167">
        <f>403.83+146.28+101.41+140.74+169.21+233.05+180.44+257.34+165.18+141.73+280.53+137.8+197.34+47.31-1467.28+38.91-376.91-524.99+54.47-188.46-134.61-3.32</f>
        <v>7.8603790143461083E-14</v>
      </c>
      <c r="Q47" s="168"/>
      <c r="R47" s="128">
        <v>1</v>
      </c>
      <c r="S47" s="128">
        <v>1</v>
      </c>
      <c r="T47" s="169">
        <v>205</v>
      </c>
      <c r="U47" s="169">
        <v>205</v>
      </c>
      <c r="V47" s="169">
        <v>0</v>
      </c>
      <c r="W47" s="169">
        <v>205</v>
      </c>
      <c r="X47" s="169">
        <f t="shared" si="5"/>
        <v>0</v>
      </c>
    </row>
    <row r="48" spans="1:24" ht="16.149999999999999" customHeight="1" x14ac:dyDescent="0.2">
      <c r="A48" s="170" t="s">
        <v>630</v>
      </c>
      <c r="B48" s="180" t="s">
        <v>631</v>
      </c>
      <c r="C48" s="171" t="s">
        <v>203</v>
      </c>
      <c r="D48" s="165" t="s">
        <v>203</v>
      </c>
      <c r="E48" s="165" t="s">
        <v>203</v>
      </c>
      <c r="F48" s="165" t="s">
        <v>203</v>
      </c>
      <c r="G48" s="167">
        <v>73.930000000000007</v>
      </c>
      <c r="H48" s="167">
        <v>0</v>
      </c>
      <c r="I48" s="167">
        <f t="shared" si="6"/>
        <v>73.930000000000007</v>
      </c>
      <c r="J48" s="167">
        <v>73.930000000000007</v>
      </c>
      <c r="K48" s="167">
        <v>0</v>
      </c>
      <c r="L48" s="167">
        <f t="shared" si="1"/>
        <v>73.930000000000007</v>
      </c>
      <c r="M48" s="127">
        <f t="shared" si="2"/>
        <v>0</v>
      </c>
      <c r="N48" s="167">
        <f t="shared" si="3"/>
        <v>0</v>
      </c>
      <c r="O48" s="167">
        <f t="shared" si="7"/>
        <v>0</v>
      </c>
      <c r="P48" s="171" t="s">
        <v>203</v>
      </c>
      <c r="Q48" s="168"/>
      <c r="R48" s="128">
        <v>1</v>
      </c>
      <c r="S48" s="128">
        <v>1</v>
      </c>
      <c r="T48" s="169">
        <v>6</v>
      </c>
      <c r="U48" s="169">
        <v>6</v>
      </c>
      <c r="V48" s="169">
        <v>0</v>
      </c>
      <c r="W48" s="169">
        <v>6</v>
      </c>
      <c r="X48" s="169">
        <f t="shared" si="5"/>
        <v>0</v>
      </c>
    </row>
    <row r="49" spans="1:24" ht="16.149999999999999" customHeight="1" x14ac:dyDescent="0.2">
      <c r="A49" s="170" t="s">
        <v>521</v>
      </c>
      <c r="B49" s="180" t="s">
        <v>522</v>
      </c>
      <c r="C49" s="171">
        <v>40957</v>
      </c>
      <c r="D49" s="165" t="s">
        <v>523</v>
      </c>
      <c r="E49" s="165" t="s">
        <v>523</v>
      </c>
      <c r="F49" s="165" t="s">
        <v>523</v>
      </c>
      <c r="G49" s="167">
        <f>2640.85+42.33+30.14-10.06</f>
        <v>2703.2599999999998</v>
      </c>
      <c r="H49" s="167">
        <v>0</v>
      </c>
      <c r="I49" s="167">
        <f t="shared" si="6"/>
        <v>2703.2599999999998</v>
      </c>
      <c r="J49" s="167">
        <f>543.39+155.84+110.55+91.9+161.38+92.19+126.53+284.14+252.55+196.14+168.54+83.14+170.33+45.34+10.06+58.44+44.86+18.22+35.46+16+8.12+30.14</f>
        <v>2703.2599999999998</v>
      </c>
      <c r="K49" s="167">
        <v>0</v>
      </c>
      <c r="L49" s="167">
        <f t="shared" si="1"/>
        <v>2703.2599999999998</v>
      </c>
      <c r="M49" s="127">
        <f t="shared" si="2"/>
        <v>0</v>
      </c>
      <c r="N49" s="167">
        <f t="shared" si="3"/>
        <v>0</v>
      </c>
      <c r="O49" s="167">
        <f t="shared" si="7"/>
        <v>0</v>
      </c>
      <c r="P49" s="167">
        <f>76.54-14.12-0.059-62.36</f>
        <v>1.0000000000118803E-3</v>
      </c>
      <c r="Q49" s="168"/>
      <c r="R49" s="128">
        <v>1</v>
      </c>
      <c r="S49" s="128">
        <v>1</v>
      </c>
      <c r="T49" s="169">
        <v>187</v>
      </c>
      <c r="U49" s="169">
        <v>187</v>
      </c>
      <c r="V49" s="169">
        <v>0</v>
      </c>
      <c r="W49" s="169">
        <v>187</v>
      </c>
      <c r="X49" s="169">
        <f t="shared" si="5"/>
        <v>0</v>
      </c>
    </row>
    <row r="50" spans="1:24" ht="16.149999999999999" customHeight="1" x14ac:dyDescent="0.2">
      <c r="A50" s="170" t="s">
        <v>632</v>
      </c>
      <c r="B50" s="180" t="s">
        <v>633</v>
      </c>
      <c r="C50" s="171" t="s">
        <v>203</v>
      </c>
      <c r="D50" s="165" t="s">
        <v>203</v>
      </c>
      <c r="E50" s="165" t="s">
        <v>203</v>
      </c>
      <c r="F50" s="165" t="s">
        <v>203</v>
      </c>
      <c r="G50" s="167">
        <v>49.2</v>
      </c>
      <c r="H50" s="167">
        <v>0</v>
      </c>
      <c r="I50" s="167">
        <f t="shared" si="6"/>
        <v>49.2</v>
      </c>
      <c r="J50" s="167">
        <v>49.2</v>
      </c>
      <c r="K50" s="167">
        <v>0</v>
      </c>
      <c r="L50" s="167">
        <f t="shared" si="1"/>
        <v>49.2</v>
      </c>
      <c r="M50" s="127">
        <f t="shared" si="2"/>
        <v>0</v>
      </c>
      <c r="N50" s="167">
        <f t="shared" si="3"/>
        <v>0</v>
      </c>
      <c r="O50" s="167">
        <f t="shared" si="7"/>
        <v>0</v>
      </c>
      <c r="P50" s="178" t="s">
        <v>203</v>
      </c>
      <c r="Q50" s="168"/>
      <c r="R50" s="128">
        <v>1</v>
      </c>
      <c r="S50" s="128">
        <v>1</v>
      </c>
      <c r="T50" s="169">
        <v>5</v>
      </c>
      <c r="U50" s="169">
        <v>5</v>
      </c>
      <c r="V50" s="169">
        <v>0</v>
      </c>
      <c r="W50" s="169">
        <v>5</v>
      </c>
      <c r="X50" s="169">
        <f t="shared" si="5"/>
        <v>0</v>
      </c>
    </row>
    <row r="51" spans="1:24" ht="16.149999999999999" customHeight="1" x14ac:dyDescent="0.2">
      <c r="A51" s="170" t="s">
        <v>634</v>
      </c>
      <c r="B51" s="180" t="s">
        <v>635</v>
      </c>
      <c r="C51" s="171" t="s">
        <v>203</v>
      </c>
      <c r="D51" s="165" t="s">
        <v>203</v>
      </c>
      <c r="E51" s="165" t="s">
        <v>203</v>
      </c>
      <c r="F51" s="165" t="s">
        <v>203</v>
      </c>
      <c r="G51" s="167">
        <v>67.819999999999993</v>
      </c>
      <c r="H51" s="167">
        <v>0</v>
      </c>
      <c r="I51" s="167">
        <f t="shared" si="6"/>
        <v>67.819999999999993</v>
      </c>
      <c r="J51" s="167">
        <v>67.819999999999993</v>
      </c>
      <c r="K51" s="167">
        <v>0</v>
      </c>
      <c r="L51" s="167">
        <f t="shared" si="1"/>
        <v>67.819999999999993</v>
      </c>
      <c r="M51" s="127">
        <f t="shared" si="2"/>
        <v>0</v>
      </c>
      <c r="N51" s="167">
        <f t="shared" si="3"/>
        <v>0</v>
      </c>
      <c r="O51" s="167">
        <f t="shared" si="7"/>
        <v>0</v>
      </c>
      <c r="P51" s="178" t="s">
        <v>203</v>
      </c>
      <c r="Q51" s="168"/>
      <c r="R51" s="128">
        <v>1</v>
      </c>
      <c r="S51" s="128">
        <v>1</v>
      </c>
      <c r="T51" s="169">
        <v>6</v>
      </c>
      <c r="U51" s="169">
        <v>6</v>
      </c>
      <c r="V51" s="169">
        <v>0</v>
      </c>
      <c r="W51" s="169">
        <v>6</v>
      </c>
      <c r="X51" s="169">
        <f t="shared" si="5"/>
        <v>0</v>
      </c>
    </row>
    <row r="52" spans="1:24" ht="16.149999999999999" customHeight="1" x14ac:dyDescent="0.2">
      <c r="A52" s="170" t="s">
        <v>636</v>
      </c>
      <c r="B52" s="180" t="s">
        <v>637</v>
      </c>
      <c r="C52" s="171" t="s">
        <v>203</v>
      </c>
      <c r="D52" s="165" t="s">
        <v>203</v>
      </c>
      <c r="E52" s="165" t="s">
        <v>203</v>
      </c>
      <c r="F52" s="165" t="s">
        <v>203</v>
      </c>
      <c r="G52" s="167">
        <f>646.65+51.56</f>
        <v>698.21</v>
      </c>
      <c r="H52" s="167">
        <v>0</v>
      </c>
      <c r="I52" s="167">
        <f t="shared" si="6"/>
        <v>698.21</v>
      </c>
      <c r="J52" s="167">
        <f>633.59+51.55+13.07</f>
        <v>698.21</v>
      </c>
      <c r="K52" s="167">
        <v>0</v>
      </c>
      <c r="L52" s="167">
        <f t="shared" si="1"/>
        <v>698.21</v>
      </c>
      <c r="M52" s="127">
        <f t="shared" si="2"/>
        <v>0</v>
      </c>
      <c r="N52" s="167">
        <f t="shared" si="3"/>
        <v>0</v>
      </c>
      <c r="O52" s="167">
        <f t="shared" si="7"/>
        <v>0</v>
      </c>
      <c r="P52" s="178" t="s">
        <v>203</v>
      </c>
      <c r="Q52" s="168"/>
      <c r="R52" s="128">
        <v>1</v>
      </c>
      <c r="S52" s="128">
        <v>1</v>
      </c>
      <c r="T52" s="169">
        <f>50+4</f>
        <v>54</v>
      </c>
      <c r="U52" s="169">
        <f>50+4</f>
        <v>54</v>
      </c>
      <c r="V52" s="169">
        <v>0</v>
      </c>
      <c r="W52" s="169">
        <v>54</v>
      </c>
      <c r="X52" s="169">
        <f t="shared" si="5"/>
        <v>0</v>
      </c>
    </row>
    <row r="53" spans="1:24" ht="16.149999999999999" customHeight="1" x14ac:dyDescent="0.2">
      <c r="A53" s="170" t="s">
        <v>223</v>
      </c>
      <c r="B53" s="180" t="s">
        <v>321</v>
      </c>
      <c r="C53" s="171">
        <v>41877</v>
      </c>
      <c r="D53" s="165" t="s">
        <v>340</v>
      </c>
      <c r="E53" s="165" t="s">
        <v>340</v>
      </c>
      <c r="F53" s="165" t="s">
        <v>340</v>
      </c>
      <c r="G53" s="167">
        <f>2228.67+22.36-107.29</f>
        <v>2143.7400000000002</v>
      </c>
      <c r="H53" s="167">
        <v>0</v>
      </c>
      <c r="I53" s="167">
        <f t="shared" si="6"/>
        <v>2143.7400000000002</v>
      </c>
      <c r="J53" s="167">
        <f>317.83+170.51+104.54+100.77+48.79+177.26+435.61+32.82+188.16+151.26+75.26+112.84+97+15.98+36.11+8.89+22.36+39.75+4.34+2.02+1.64</f>
        <v>2143.7399999999998</v>
      </c>
      <c r="K53" s="167">
        <v>0</v>
      </c>
      <c r="L53" s="167">
        <f t="shared" si="1"/>
        <v>2143.7399999999998</v>
      </c>
      <c r="M53" s="127">
        <f t="shared" si="2"/>
        <v>0</v>
      </c>
      <c r="N53" s="167">
        <f t="shared" si="3"/>
        <v>0</v>
      </c>
      <c r="O53" s="167">
        <f t="shared" si="7"/>
        <v>0</v>
      </c>
      <c r="P53" s="167">
        <f>317.83+170.51+104.54+100.77+48.79+177.26+435.61+32.82+188.16+151.26+75.26+112.84+97+15.98+36.11+8.89+22.36+39.75+4.34-1671.5-166.98-226.83-48.95-25.82+2.02-2.02</f>
        <v>-1.0658141036401503E-13</v>
      </c>
      <c r="Q53" s="168"/>
      <c r="R53" s="128">
        <v>1</v>
      </c>
      <c r="S53" s="128">
        <v>1</v>
      </c>
      <c r="T53" s="169">
        <v>88</v>
      </c>
      <c r="U53" s="169">
        <v>88</v>
      </c>
      <c r="V53" s="169">
        <v>0</v>
      </c>
      <c r="W53" s="169">
        <v>88</v>
      </c>
      <c r="X53" s="169">
        <f t="shared" si="5"/>
        <v>0</v>
      </c>
    </row>
    <row r="54" spans="1:24" ht="16.149999999999999" customHeight="1" x14ac:dyDescent="0.2">
      <c r="A54" s="170" t="s">
        <v>638</v>
      </c>
      <c r="B54" s="180" t="s">
        <v>639</v>
      </c>
      <c r="C54" s="171" t="s">
        <v>203</v>
      </c>
      <c r="D54" s="165" t="s">
        <v>203</v>
      </c>
      <c r="E54" s="165" t="s">
        <v>203</v>
      </c>
      <c r="F54" s="165" t="s">
        <v>203</v>
      </c>
      <c r="G54" s="167">
        <f>165.31+274.05</f>
        <v>439.36</v>
      </c>
      <c r="H54" s="167">
        <v>0</v>
      </c>
      <c r="I54" s="167">
        <f t="shared" si="6"/>
        <v>439.36</v>
      </c>
      <c r="J54" s="167">
        <v>439.36</v>
      </c>
      <c r="K54" s="167">
        <v>0</v>
      </c>
      <c r="L54" s="167">
        <f t="shared" si="1"/>
        <v>439.36</v>
      </c>
      <c r="M54" s="127">
        <f t="shared" si="2"/>
        <v>0</v>
      </c>
      <c r="N54" s="167">
        <f t="shared" si="3"/>
        <v>0</v>
      </c>
      <c r="O54" s="167">
        <f t="shared" si="7"/>
        <v>0</v>
      </c>
      <c r="P54" s="178" t="s">
        <v>203</v>
      </c>
      <c r="Q54" s="168"/>
      <c r="R54" s="128">
        <v>1</v>
      </c>
      <c r="S54" s="128">
        <v>1</v>
      </c>
      <c r="T54" s="169">
        <f>13+21</f>
        <v>34</v>
      </c>
      <c r="U54" s="169">
        <f>13+21</f>
        <v>34</v>
      </c>
      <c r="V54" s="169">
        <v>0</v>
      </c>
      <c r="W54" s="169">
        <v>34</v>
      </c>
      <c r="X54" s="169">
        <f t="shared" si="5"/>
        <v>0</v>
      </c>
    </row>
    <row r="55" spans="1:24" ht="16.149999999999999" customHeight="1" x14ac:dyDescent="0.2">
      <c r="A55" s="170" t="s">
        <v>640</v>
      </c>
      <c r="B55" s="180" t="s">
        <v>641</v>
      </c>
      <c r="C55" s="171" t="s">
        <v>203</v>
      </c>
      <c r="D55" s="165" t="s">
        <v>203</v>
      </c>
      <c r="E55" s="165" t="s">
        <v>203</v>
      </c>
      <c r="F55" s="165" t="s">
        <v>203</v>
      </c>
      <c r="G55" s="167">
        <f>395.75+65.94+26.37</f>
        <v>488.06</v>
      </c>
      <c r="H55" s="167">
        <v>0</v>
      </c>
      <c r="I55" s="167">
        <f t="shared" si="6"/>
        <v>488.06</v>
      </c>
      <c r="J55" s="167">
        <f>395.75+65.94+26.37</f>
        <v>488.06</v>
      </c>
      <c r="K55" s="167">
        <v>0</v>
      </c>
      <c r="L55" s="167">
        <f t="shared" si="1"/>
        <v>488.06</v>
      </c>
      <c r="M55" s="127">
        <f t="shared" si="2"/>
        <v>0</v>
      </c>
      <c r="N55" s="167">
        <f t="shared" si="3"/>
        <v>0</v>
      </c>
      <c r="O55" s="167">
        <f t="shared" si="7"/>
        <v>0</v>
      </c>
      <c r="P55" s="178" t="s">
        <v>203</v>
      </c>
      <c r="Q55" s="168"/>
      <c r="R55" s="128">
        <v>1</v>
      </c>
      <c r="S55" s="128">
        <v>1</v>
      </c>
      <c r="T55" s="169">
        <f>30+5+2</f>
        <v>37</v>
      </c>
      <c r="U55" s="169">
        <f>30+5+2</f>
        <v>37</v>
      </c>
      <c r="V55" s="169">
        <v>0</v>
      </c>
      <c r="W55" s="169">
        <v>37</v>
      </c>
      <c r="X55" s="169">
        <f t="shared" si="5"/>
        <v>0</v>
      </c>
    </row>
    <row r="56" spans="1:24" ht="16.149999999999999" customHeight="1" x14ac:dyDescent="0.2">
      <c r="A56" s="170" t="s">
        <v>642</v>
      </c>
      <c r="B56" s="180" t="s">
        <v>643</v>
      </c>
      <c r="C56" s="171" t="s">
        <v>203</v>
      </c>
      <c r="D56" s="165" t="s">
        <v>203</v>
      </c>
      <c r="E56" s="165" t="s">
        <v>203</v>
      </c>
      <c r="F56" s="165" t="s">
        <v>203</v>
      </c>
      <c r="G56" s="167">
        <f>472.51+52.2+38.83</f>
        <v>563.54000000000008</v>
      </c>
      <c r="H56" s="167">
        <v>0</v>
      </c>
      <c r="I56" s="167">
        <f t="shared" si="6"/>
        <v>563.54000000000008</v>
      </c>
      <c r="J56" s="167">
        <f>246+213.89+52.21+38.82</f>
        <v>550.92000000000007</v>
      </c>
      <c r="K56" s="167">
        <v>0</v>
      </c>
      <c r="L56" s="167">
        <f t="shared" si="1"/>
        <v>550.92000000000007</v>
      </c>
      <c r="M56" s="127">
        <f>G56-J56-12.62</f>
        <v>0</v>
      </c>
      <c r="N56" s="167">
        <f t="shared" ref="N56:N87" si="8">H56-K56</f>
        <v>0</v>
      </c>
      <c r="O56" s="167">
        <f t="shared" si="7"/>
        <v>0</v>
      </c>
      <c r="P56" s="178" t="s">
        <v>203</v>
      </c>
      <c r="Q56" s="168"/>
      <c r="R56" s="128">
        <v>1</v>
      </c>
      <c r="S56" s="128">
        <v>1</v>
      </c>
      <c r="T56" s="169">
        <f>37+4+3</f>
        <v>44</v>
      </c>
      <c r="U56" s="169">
        <f>37+4+3</f>
        <v>44</v>
      </c>
      <c r="V56" s="169">
        <v>1</v>
      </c>
      <c r="W56" s="169">
        <v>43</v>
      </c>
      <c r="X56" s="169">
        <f t="shared" si="5"/>
        <v>1</v>
      </c>
    </row>
    <row r="57" spans="1:24" ht="16.149999999999999" customHeight="1" x14ac:dyDescent="0.2">
      <c r="A57" s="170" t="s">
        <v>644</v>
      </c>
      <c r="B57" s="180" t="s">
        <v>645</v>
      </c>
      <c r="C57" s="171" t="s">
        <v>203</v>
      </c>
      <c r="D57" s="165" t="s">
        <v>203</v>
      </c>
      <c r="E57" s="165" t="s">
        <v>203</v>
      </c>
      <c r="F57" s="165" t="s">
        <v>203</v>
      </c>
      <c r="G57" s="167">
        <v>239.33</v>
      </c>
      <c r="H57" s="167">
        <v>0</v>
      </c>
      <c r="I57" s="167">
        <f t="shared" si="6"/>
        <v>239.33</v>
      </c>
      <c r="J57" s="167">
        <f>226.04+13.29</f>
        <v>239.32999999999998</v>
      </c>
      <c r="K57" s="167">
        <v>0</v>
      </c>
      <c r="L57" s="167">
        <f t="shared" si="1"/>
        <v>239.32999999999998</v>
      </c>
      <c r="M57" s="127">
        <f t="shared" ref="M57:M80" si="9">G57-J57</f>
        <v>0</v>
      </c>
      <c r="N57" s="167">
        <f t="shared" si="8"/>
        <v>0</v>
      </c>
      <c r="O57" s="167">
        <f t="shared" si="7"/>
        <v>0</v>
      </c>
      <c r="P57" s="178" t="s">
        <v>203</v>
      </c>
      <c r="Q57" s="168"/>
      <c r="R57" s="128">
        <v>1</v>
      </c>
      <c r="S57" s="128">
        <v>1</v>
      </c>
      <c r="T57" s="169">
        <v>19</v>
      </c>
      <c r="U57" s="181">
        <v>19</v>
      </c>
      <c r="V57" s="169">
        <v>0</v>
      </c>
      <c r="W57" s="169">
        <v>19</v>
      </c>
      <c r="X57" s="169">
        <f t="shared" si="5"/>
        <v>0</v>
      </c>
    </row>
    <row r="58" spans="1:24" ht="16.149999999999999" customHeight="1" x14ac:dyDescent="0.2">
      <c r="A58" s="170" t="s">
        <v>646</v>
      </c>
      <c r="B58" s="180" t="s">
        <v>647</v>
      </c>
      <c r="C58" s="171" t="s">
        <v>203</v>
      </c>
      <c r="D58" s="165" t="s">
        <v>203</v>
      </c>
      <c r="E58" s="165" t="s">
        <v>203</v>
      </c>
      <c r="F58" s="165" t="s">
        <v>203</v>
      </c>
      <c r="G58" s="167">
        <f>117.39+50.47+13.75+13.06-21.39</f>
        <v>173.28000000000003</v>
      </c>
      <c r="H58" s="167">
        <v>0</v>
      </c>
      <c r="I58" s="167">
        <f t="shared" si="6"/>
        <v>173.28000000000003</v>
      </c>
      <c r="J58" s="167">
        <f>107.25+39.21+13.75+13.07</f>
        <v>173.28</v>
      </c>
      <c r="K58" s="167">
        <v>0</v>
      </c>
      <c r="L58" s="167">
        <f t="shared" si="1"/>
        <v>173.28</v>
      </c>
      <c r="M58" s="127">
        <f t="shared" si="9"/>
        <v>0</v>
      </c>
      <c r="N58" s="167">
        <f t="shared" si="8"/>
        <v>0</v>
      </c>
      <c r="O58" s="167">
        <f t="shared" si="7"/>
        <v>0</v>
      </c>
      <c r="P58" s="178" t="s">
        <v>203</v>
      </c>
      <c r="Q58" s="168"/>
      <c r="R58" s="128">
        <v>1</v>
      </c>
      <c r="S58" s="128">
        <v>1</v>
      </c>
      <c r="T58" s="169">
        <f>10+4+1+1</f>
        <v>16</v>
      </c>
      <c r="U58" s="169">
        <f>10+4+1+1</f>
        <v>16</v>
      </c>
      <c r="V58" s="169">
        <v>1</v>
      </c>
      <c r="W58" s="169">
        <v>14</v>
      </c>
      <c r="X58" s="169">
        <f t="shared" si="5"/>
        <v>2</v>
      </c>
    </row>
    <row r="59" spans="1:24" ht="16.149999999999999" customHeight="1" x14ac:dyDescent="0.2">
      <c r="A59" s="173" t="s">
        <v>240</v>
      </c>
      <c r="B59" s="180" t="s">
        <v>241</v>
      </c>
      <c r="C59" s="171" t="s">
        <v>203</v>
      </c>
      <c r="D59" s="165" t="s">
        <v>203</v>
      </c>
      <c r="E59" s="165" t="s">
        <v>203</v>
      </c>
      <c r="F59" s="165" t="s">
        <v>203</v>
      </c>
      <c r="G59" s="167">
        <f>147.18+108.01+113.05+25.55+0.61-15.16</f>
        <v>379.24</v>
      </c>
      <c r="H59" s="167">
        <v>0</v>
      </c>
      <c r="I59" s="167">
        <f t="shared" si="6"/>
        <v>379.24</v>
      </c>
      <c r="J59" s="167">
        <f>134.3+81.03+26.99+99.37+3.6+12.88+13.67+7.4</f>
        <v>379.24000000000007</v>
      </c>
      <c r="K59" s="167">
        <v>0</v>
      </c>
      <c r="L59" s="167">
        <f t="shared" si="1"/>
        <v>379.24000000000007</v>
      </c>
      <c r="M59" s="127">
        <f t="shared" si="9"/>
        <v>0</v>
      </c>
      <c r="N59" s="167">
        <f t="shared" si="8"/>
        <v>0</v>
      </c>
      <c r="O59" s="167">
        <f t="shared" si="7"/>
        <v>0</v>
      </c>
      <c r="P59" s="178" t="s">
        <v>203</v>
      </c>
      <c r="Q59" s="168"/>
      <c r="R59" s="128">
        <v>1</v>
      </c>
      <c r="S59" s="128">
        <v>0.96</v>
      </c>
      <c r="T59" s="169">
        <f>10+8+8+2</f>
        <v>28</v>
      </c>
      <c r="U59" s="169">
        <f>10+8+8+2</f>
        <v>28</v>
      </c>
      <c r="V59" s="169">
        <v>1</v>
      </c>
      <c r="W59" s="169">
        <v>27</v>
      </c>
      <c r="X59" s="169">
        <f t="shared" si="5"/>
        <v>1</v>
      </c>
    </row>
    <row r="60" spans="1:24" ht="16.149999999999999" customHeight="1" x14ac:dyDescent="0.2">
      <c r="A60" s="173" t="s">
        <v>242</v>
      </c>
      <c r="B60" s="180" t="s">
        <v>314</v>
      </c>
      <c r="C60" s="171">
        <v>41596</v>
      </c>
      <c r="D60" s="165" t="s">
        <v>315</v>
      </c>
      <c r="E60" s="165" t="s">
        <v>461</v>
      </c>
      <c r="F60" s="165" t="s">
        <v>461</v>
      </c>
      <c r="G60" s="167">
        <f>3241.62-14.63-16.98</f>
        <v>3210.0099999999998</v>
      </c>
      <c r="H60" s="167">
        <v>0</v>
      </c>
      <c r="I60" s="167">
        <f t="shared" si="6"/>
        <v>3210.0099999999998</v>
      </c>
      <c r="J60" s="167">
        <f>2965.02+32.71+17.1+7.08+65.18+2.71+62.55+27.61+13.22+16.83</f>
        <v>3210.0099999999998</v>
      </c>
      <c r="K60" s="167">
        <v>0</v>
      </c>
      <c r="L60" s="167">
        <f t="shared" si="1"/>
        <v>3210.0099999999998</v>
      </c>
      <c r="M60" s="127">
        <f t="shared" si="9"/>
        <v>0</v>
      </c>
      <c r="N60" s="167">
        <f t="shared" si="8"/>
        <v>0</v>
      </c>
      <c r="O60" s="167">
        <f t="shared" si="7"/>
        <v>0</v>
      </c>
      <c r="P60" s="167">
        <f>2965.02+32.71+17.1+7.08+65.18+2.71-2746.97+62.55-53.32+27.61+13.22+16.83-15.98-23.49-227.57-41.11-21.1-18.35-20.1-36.7-5.32</f>
        <v>-6.3948846218409017E-14</v>
      </c>
      <c r="Q60" s="168"/>
      <c r="R60" s="128">
        <v>1</v>
      </c>
      <c r="S60" s="128">
        <v>1</v>
      </c>
      <c r="T60" s="169">
        <v>169</v>
      </c>
      <c r="U60" s="169">
        <v>169</v>
      </c>
      <c r="V60" s="169">
        <v>0</v>
      </c>
      <c r="W60" s="169">
        <v>169</v>
      </c>
      <c r="X60" s="169">
        <f t="shared" si="5"/>
        <v>0</v>
      </c>
    </row>
    <row r="61" spans="1:24" ht="16.149999999999999" customHeight="1" x14ac:dyDescent="0.2">
      <c r="A61" s="173" t="s">
        <v>243</v>
      </c>
      <c r="B61" s="180" t="s">
        <v>393</v>
      </c>
      <c r="C61" s="171">
        <v>41548</v>
      </c>
      <c r="D61" s="165" t="s">
        <v>509</v>
      </c>
      <c r="E61" s="165" t="s">
        <v>510</v>
      </c>
      <c r="F61" s="165" t="s">
        <v>511</v>
      </c>
      <c r="G61" s="167">
        <f>730.47+76.24+2.99+1.12+0.87-28.813</f>
        <v>782.87700000000007</v>
      </c>
      <c r="H61" s="167">
        <v>0</v>
      </c>
      <c r="I61" s="167">
        <f t="shared" si="6"/>
        <v>782.87700000000007</v>
      </c>
      <c r="J61" s="167">
        <f>34.68+0.14+0.17+12.29+0.96+96.98+180.52+167.22+71.07+35.05+17.76+13.82+61.06+20.27456728+14.48241169+10.95+42.73+1.84+0.37+0.51</f>
        <v>782.87697897000021</v>
      </c>
      <c r="K61" s="167">
        <v>0</v>
      </c>
      <c r="L61" s="167">
        <f t="shared" si="1"/>
        <v>782.87697897000021</v>
      </c>
      <c r="M61" s="127">
        <f t="shared" si="9"/>
        <v>2.1029999857091752E-5</v>
      </c>
      <c r="N61" s="167">
        <f t="shared" si="8"/>
        <v>0</v>
      </c>
      <c r="O61" s="167">
        <f t="shared" si="7"/>
        <v>2.1029999857091752E-5</v>
      </c>
      <c r="P61" s="167">
        <f>34.68+0.14+0.17+12.29+0.96+96.98+180.52+167.22+71.07+35.05+17.76+13.82+61.06+20.27456728+14.48241169+10.95+42.73-312.25-70.67+1.84-115.85+0.37-24.13-105.91-52.06-27.7-46.79+0.51-2.44-23.39-1.69</f>
        <v>-3.0210299998736367E-3</v>
      </c>
      <c r="Q61" s="168"/>
      <c r="R61" s="128">
        <v>1</v>
      </c>
      <c r="S61" s="128">
        <v>1</v>
      </c>
      <c r="T61" s="169">
        <v>36</v>
      </c>
      <c r="U61" s="169">
        <v>36</v>
      </c>
      <c r="V61" s="169">
        <v>0</v>
      </c>
      <c r="W61" s="169">
        <v>36</v>
      </c>
      <c r="X61" s="169">
        <v>0</v>
      </c>
    </row>
    <row r="62" spans="1:24" ht="16.149999999999999" customHeight="1" x14ac:dyDescent="0.2">
      <c r="A62" s="173" t="s">
        <v>648</v>
      </c>
      <c r="B62" s="180" t="s">
        <v>649</v>
      </c>
      <c r="C62" s="171" t="s">
        <v>203</v>
      </c>
      <c r="D62" s="165" t="s">
        <v>203</v>
      </c>
      <c r="E62" s="165" t="s">
        <v>203</v>
      </c>
      <c r="F62" s="165" t="s">
        <v>203</v>
      </c>
      <c r="G62" s="167">
        <f>691.75+14.69</f>
        <v>706.44</v>
      </c>
      <c r="H62" s="167">
        <v>0</v>
      </c>
      <c r="I62" s="167">
        <f t="shared" si="6"/>
        <v>706.44</v>
      </c>
      <c r="J62" s="167">
        <v>706.44</v>
      </c>
      <c r="K62" s="167">
        <v>0</v>
      </c>
      <c r="L62" s="167">
        <f t="shared" si="1"/>
        <v>706.44</v>
      </c>
      <c r="M62" s="127">
        <f t="shared" si="9"/>
        <v>0</v>
      </c>
      <c r="N62" s="167">
        <f t="shared" si="8"/>
        <v>0</v>
      </c>
      <c r="O62" s="167">
        <f t="shared" si="7"/>
        <v>0</v>
      </c>
      <c r="P62" s="178" t="s">
        <v>203</v>
      </c>
      <c r="Q62" s="168"/>
      <c r="R62" s="128">
        <v>1</v>
      </c>
      <c r="S62" s="128">
        <v>1</v>
      </c>
      <c r="T62" s="169">
        <v>51</v>
      </c>
      <c r="U62" s="169">
        <v>51</v>
      </c>
      <c r="V62" s="169">
        <v>0</v>
      </c>
      <c r="W62" s="169">
        <v>51</v>
      </c>
      <c r="X62" s="169">
        <f t="shared" si="5"/>
        <v>0</v>
      </c>
    </row>
    <row r="63" spans="1:24" ht="16.149999999999999" customHeight="1" x14ac:dyDescent="0.2">
      <c r="A63" s="173" t="s">
        <v>650</v>
      </c>
      <c r="B63" s="180" t="s">
        <v>651</v>
      </c>
      <c r="C63" s="171" t="s">
        <v>203</v>
      </c>
      <c r="D63" s="165" t="s">
        <v>203</v>
      </c>
      <c r="E63" s="165" t="s">
        <v>203</v>
      </c>
      <c r="F63" s="165" t="s">
        <v>203</v>
      </c>
      <c r="G63" s="167">
        <v>174.91</v>
      </c>
      <c r="H63" s="167">
        <v>0</v>
      </c>
      <c r="I63" s="167">
        <f t="shared" si="6"/>
        <v>174.91</v>
      </c>
      <c r="J63" s="167">
        <f>162.91+12</f>
        <v>174.91</v>
      </c>
      <c r="K63" s="167">
        <v>0</v>
      </c>
      <c r="L63" s="167">
        <f t="shared" si="1"/>
        <v>174.91</v>
      </c>
      <c r="M63" s="127">
        <f t="shared" si="9"/>
        <v>0</v>
      </c>
      <c r="N63" s="167">
        <f t="shared" si="8"/>
        <v>0</v>
      </c>
      <c r="O63" s="167">
        <f t="shared" si="7"/>
        <v>0</v>
      </c>
      <c r="P63" s="178" t="s">
        <v>203</v>
      </c>
      <c r="Q63" s="168"/>
      <c r="R63" s="128">
        <v>1</v>
      </c>
      <c r="S63" s="128">
        <v>1</v>
      </c>
      <c r="T63" s="169">
        <v>14</v>
      </c>
      <c r="U63" s="169">
        <v>14</v>
      </c>
      <c r="V63" s="169">
        <v>0</v>
      </c>
      <c r="W63" s="169">
        <v>14</v>
      </c>
      <c r="X63" s="169">
        <f t="shared" si="5"/>
        <v>0</v>
      </c>
    </row>
    <row r="64" spans="1:24" ht="16.149999999999999" customHeight="1" x14ac:dyDescent="0.2">
      <c r="A64" s="173" t="s">
        <v>652</v>
      </c>
      <c r="B64" s="180" t="s">
        <v>653</v>
      </c>
      <c r="C64" s="171" t="s">
        <v>203</v>
      </c>
      <c r="D64" s="165" t="s">
        <v>203</v>
      </c>
      <c r="E64" s="165" t="s">
        <v>203</v>
      </c>
      <c r="F64" s="165" t="s">
        <v>203</v>
      </c>
      <c r="G64" s="167">
        <f>826.07+79+13.09+25.87+519.01+13.56+52.99+13.34+66.04+13.53-12.41</f>
        <v>1610.0899999999997</v>
      </c>
      <c r="H64" s="167">
        <v>0</v>
      </c>
      <c r="I64" s="167">
        <f t="shared" si="6"/>
        <v>1610.0899999999997</v>
      </c>
      <c r="J64" s="167">
        <f>761.1+39.44+79+13.09+38.99+505.82+13.19+13.56+27.08+25.92+13.33+52.9+13.13+13.54</f>
        <v>1610.0900000000001</v>
      </c>
      <c r="K64" s="167">
        <v>0</v>
      </c>
      <c r="L64" s="167">
        <f t="shared" si="1"/>
        <v>1610.0900000000001</v>
      </c>
      <c r="M64" s="127">
        <f t="shared" si="9"/>
        <v>0</v>
      </c>
      <c r="N64" s="167">
        <f t="shared" si="8"/>
        <v>0</v>
      </c>
      <c r="O64" s="167">
        <f t="shared" si="7"/>
        <v>0</v>
      </c>
      <c r="P64" s="178" t="s">
        <v>203</v>
      </c>
      <c r="Q64" s="168"/>
      <c r="R64" s="128">
        <v>1</v>
      </c>
      <c r="S64" s="128">
        <v>1</v>
      </c>
      <c r="T64" s="169">
        <f>63+6+1+2+39+1+4+1+5+1</f>
        <v>123</v>
      </c>
      <c r="U64" s="169">
        <f>63+6+1+2+39+1+4+1+5+1</f>
        <v>123</v>
      </c>
      <c r="V64" s="169">
        <v>0</v>
      </c>
      <c r="W64" s="169">
        <v>122</v>
      </c>
      <c r="X64" s="169">
        <f t="shared" si="5"/>
        <v>1</v>
      </c>
    </row>
    <row r="65" spans="1:24" ht="16.149999999999999" customHeight="1" x14ac:dyDescent="0.2">
      <c r="A65" s="173" t="s">
        <v>287</v>
      </c>
      <c r="B65" s="180" t="s">
        <v>341</v>
      </c>
      <c r="C65" s="171">
        <v>41942</v>
      </c>
      <c r="D65" s="165" t="s">
        <v>342</v>
      </c>
      <c r="E65" s="165" t="s">
        <v>357</v>
      </c>
      <c r="F65" s="165" t="s">
        <v>357</v>
      </c>
      <c r="G65" s="167">
        <f>2401.04+97.08-118.8</f>
        <v>2379.3199999999997</v>
      </c>
      <c r="H65" s="167">
        <v>0</v>
      </c>
      <c r="I65" s="167">
        <f t="shared" si="6"/>
        <v>2379.3199999999997</v>
      </c>
      <c r="J65" s="167">
        <f>2078.74+38.74+47.5+11.51+91.94+7.99+60.46+9.78+12.45+16+3.32+0.89</f>
        <v>2379.3199999999997</v>
      </c>
      <c r="K65" s="167">
        <v>0</v>
      </c>
      <c r="L65" s="167">
        <f t="shared" si="1"/>
        <v>2379.3199999999997</v>
      </c>
      <c r="M65" s="127">
        <f t="shared" si="9"/>
        <v>0</v>
      </c>
      <c r="N65" s="167">
        <f t="shared" si="8"/>
        <v>0</v>
      </c>
      <c r="O65" s="167">
        <f t="shared" si="7"/>
        <v>0</v>
      </c>
      <c r="P65" s="167">
        <f>2076.77+38.74+47.5+11.51+91.94-1677.82-175.06-42.96+7.99-58.1-102.39-64.1+60.46-214.48+9.78+12.45+16+3.32+0.89-42.44</f>
        <v>1.4210854715202004E-13</v>
      </c>
      <c r="Q65" s="168"/>
      <c r="R65" s="128">
        <v>1</v>
      </c>
      <c r="S65" s="128">
        <v>1</v>
      </c>
      <c r="T65" s="169">
        <v>112</v>
      </c>
      <c r="U65" s="169">
        <v>112</v>
      </c>
      <c r="V65" s="169">
        <v>0</v>
      </c>
      <c r="W65" s="169">
        <v>112</v>
      </c>
      <c r="X65" s="169">
        <f t="shared" si="5"/>
        <v>0</v>
      </c>
    </row>
    <row r="66" spans="1:24" ht="16.149999999999999" customHeight="1" x14ac:dyDescent="0.2">
      <c r="A66" s="173" t="s">
        <v>288</v>
      </c>
      <c r="B66" s="180" t="s">
        <v>654</v>
      </c>
      <c r="C66" s="171">
        <v>42008</v>
      </c>
      <c r="D66" s="165" t="s">
        <v>512</v>
      </c>
      <c r="E66" s="165" t="s">
        <v>462</v>
      </c>
      <c r="F66" s="165" t="s">
        <v>513</v>
      </c>
      <c r="G66" s="167">
        <f>3401.39+104.57+21.06+35.37+260+30.83+20.79+0.24</f>
        <v>3874.2499999999995</v>
      </c>
      <c r="H66" s="167">
        <v>0</v>
      </c>
      <c r="I66" s="167">
        <f t="shared" si="6"/>
        <v>3874.2499999999995</v>
      </c>
      <c r="J66" s="167">
        <f>3669.23+13.24+0.26+2.84+3.37+25.83+0.93+20.79+1.83+10.1+2.4+0.243+0.2+3.86+4.16+2.47</f>
        <v>3761.7529999999992</v>
      </c>
      <c r="K66" s="167">
        <v>0</v>
      </c>
      <c r="L66" s="167">
        <f t="shared" si="1"/>
        <v>3761.7529999999992</v>
      </c>
      <c r="M66" s="127">
        <f t="shared" si="9"/>
        <v>112.4970000000003</v>
      </c>
      <c r="N66" s="167">
        <f t="shared" si="8"/>
        <v>0</v>
      </c>
      <c r="O66" s="167">
        <f t="shared" si="7"/>
        <v>112.4970000000003</v>
      </c>
      <c r="P66" s="167">
        <f>692.68+13.24+0.26+2.84+3.37+25.83+0.93+20.79-759.94+1.83+10.09+2.4-1.83+0.243+0.2+3.86+4.16+2.47</f>
        <v>23.422999999999885</v>
      </c>
      <c r="Q66" s="168" t="s">
        <v>278</v>
      </c>
      <c r="R66" s="128">
        <v>1</v>
      </c>
      <c r="S66" s="128">
        <v>0.99390000000000001</v>
      </c>
      <c r="T66" s="169">
        <v>155</v>
      </c>
      <c r="U66" s="169">
        <v>155</v>
      </c>
      <c r="V66" s="169">
        <v>0</v>
      </c>
      <c r="W66" s="169">
        <v>155</v>
      </c>
      <c r="X66" s="169">
        <f t="shared" si="5"/>
        <v>0</v>
      </c>
    </row>
    <row r="67" spans="1:24" ht="16.149999999999999" customHeight="1" x14ac:dyDescent="0.2">
      <c r="A67" s="173" t="s">
        <v>655</v>
      </c>
      <c r="B67" s="180" t="s">
        <v>656</v>
      </c>
      <c r="C67" s="171" t="s">
        <v>203</v>
      </c>
      <c r="D67" s="165" t="s">
        <v>203</v>
      </c>
      <c r="E67" s="165" t="s">
        <v>203</v>
      </c>
      <c r="F67" s="165" t="s">
        <v>203</v>
      </c>
      <c r="G67" s="167">
        <v>439.05</v>
      </c>
      <c r="H67" s="167">
        <v>0</v>
      </c>
      <c r="I67" s="167">
        <f t="shared" si="6"/>
        <v>439.05</v>
      </c>
      <c r="J67" s="167">
        <v>439.05</v>
      </c>
      <c r="K67" s="167">
        <v>0</v>
      </c>
      <c r="L67" s="167">
        <f t="shared" si="1"/>
        <v>439.05</v>
      </c>
      <c r="M67" s="127">
        <f t="shared" si="9"/>
        <v>0</v>
      </c>
      <c r="N67" s="167">
        <f t="shared" si="8"/>
        <v>0</v>
      </c>
      <c r="O67" s="167">
        <f t="shared" si="7"/>
        <v>0</v>
      </c>
      <c r="P67" s="178" t="s">
        <v>203</v>
      </c>
      <c r="Q67" s="168"/>
      <c r="R67" s="128">
        <v>1</v>
      </c>
      <c r="S67" s="128">
        <v>1</v>
      </c>
      <c r="T67" s="169">
        <v>29</v>
      </c>
      <c r="U67" s="169">
        <v>29</v>
      </c>
      <c r="V67" s="169">
        <v>0</v>
      </c>
      <c r="W67" s="169">
        <v>29</v>
      </c>
      <c r="X67" s="169">
        <f t="shared" si="5"/>
        <v>0</v>
      </c>
    </row>
    <row r="68" spans="1:24" ht="16.149999999999999" customHeight="1" x14ac:dyDescent="0.2">
      <c r="A68" s="173" t="s">
        <v>657</v>
      </c>
      <c r="B68" s="180" t="s">
        <v>658</v>
      </c>
      <c r="C68" s="171" t="s">
        <v>203</v>
      </c>
      <c r="D68" s="165" t="s">
        <v>203</v>
      </c>
      <c r="E68" s="165" t="s">
        <v>203</v>
      </c>
      <c r="F68" s="165" t="s">
        <v>203</v>
      </c>
      <c r="G68" s="167">
        <f>471.76</f>
        <v>471.76</v>
      </c>
      <c r="H68" s="167">
        <v>0</v>
      </c>
      <c r="I68" s="167">
        <f t="shared" si="6"/>
        <v>471.76</v>
      </c>
      <c r="J68" s="167">
        <f>471.76</f>
        <v>471.76</v>
      </c>
      <c r="K68" s="167">
        <v>0</v>
      </c>
      <c r="L68" s="167">
        <f t="shared" si="1"/>
        <v>471.76</v>
      </c>
      <c r="M68" s="127">
        <f t="shared" si="9"/>
        <v>0</v>
      </c>
      <c r="N68" s="167">
        <f t="shared" si="8"/>
        <v>0</v>
      </c>
      <c r="O68" s="167">
        <f t="shared" si="7"/>
        <v>0</v>
      </c>
      <c r="P68" s="178" t="s">
        <v>203</v>
      </c>
      <c r="Q68" s="168"/>
      <c r="R68" s="128">
        <v>1</v>
      </c>
      <c r="S68" s="128">
        <v>1</v>
      </c>
      <c r="T68" s="169">
        <v>28</v>
      </c>
      <c r="U68" s="169">
        <v>28</v>
      </c>
      <c r="V68" s="169">
        <v>0</v>
      </c>
      <c r="W68" s="169">
        <v>28</v>
      </c>
      <c r="X68" s="169">
        <f t="shared" si="5"/>
        <v>0</v>
      </c>
    </row>
    <row r="69" spans="1:24" ht="16.149999999999999" customHeight="1" x14ac:dyDescent="0.2">
      <c r="A69" s="173" t="s">
        <v>659</v>
      </c>
      <c r="B69" s="180" t="s">
        <v>660</v>
      </c>
      <c r="C69" s="171" t="s">
        <v>203</v>
      </c>
      <c r="D69" s="165" t="s">
        <v>203</v>
      </c>
      <c r="E69" s="165" t="s">
        <v>203</v>
      </c>
      <c r="F69" s="165" t="s">
        <v>203</v>
      </c>
      <c r="G69" s="167">
        <f>431.67+8.5+14.29</f>
        <v>454.46000000000004</v>
      </c>
      <c r="H69" s="167">
        <v>0</v>
      </c>
      <c r="I69" s="167">
        <f t="shared" si="6"/>
        <v>454.46000000000004</v>
      </c>
      <c r="J69" s="167">
        <v>454.46</v>
      </c>
      <c r="K69" s="167">
        <v>0</v>
      </c>
      <c r="L69" s="167">
        <f t="shared" si="1"/>
        <v>454.46</v>
      </c>
      <c r="M69" s="127">
        <f t="shared" si="9"/>
        <v>0</v>
      </c>
      <c r="N69" s="167">
        <f t="shared" si="8"/>
        <v>0</v>
      </c>
      <c r="O69" s="167">
        <f t="shared" si="7"/>
        <v>0</v>
      </c>
      <c r="P69" s="178" t="s">
        <v>203</v>
      </c>
      <c r="Q69" s="168"/>
      <c r="R69" s="128">
        <v>1</v>
      </c>
      <c r="S69" s="128">
        <v>1</v>
      </c>
      <c r="T69" s="169">
        <f>31+1</f>
        <v>32</v>
      </c>
      <c r="U69" s="169">
        <f>31+1</f>
        <v>32</v>
      </c>
      <c r="V69" s="169">
        <v>0</v>
      </c>
      <c r="W69" s="169">
        <v>32</v>
      </c>
      <c r="X69" s="169">
        <f t="shared" si="5"/>
        <v>0</v>
      </c>
    </row>
    <row r="70" spans="1:24" ht="16.149999999999999" customHeight="1" x14ac:dyDescent="0.2">
      <c r="A70" s="173" t="s">
        <v>463</v>
      </c>
      <c r="B70" s="180" t="s">
        <v>1216</v>
      </c>
      <c r="C70" s="171">
        <v>43477</v>
      </c>
      <c r="D70" s="165" t="s">
        <v>514</v>
      </c>
      <c r="E70" s="165"/>
      <c r="F70" s="165" t="s">
        <v>1217</v>
      </c>
      <c r="G70" s="167">
        <f>2983.16+1697.71+26.95-1.77</f>
        <v>4706.0499999999993</v>
      </c>
      <c r="H70" s="167">
        <v>0</v>
      </c>
      <c r="I70" s="167">
        <f t="shared" si="6"/>
        <v>4706.0499999999993</v>
      </c>
      <c r="J70" s="167">
        <f>4+19.34+33.88+1.15+198.91+447.86+102.09+1217.95+186.61+99.1+65.21+154.96+36.33+365.22+5.92+152.22+59.27+145+44.1+1.77+374.57+6.76+71.06+192.29+3.43+0.75+124.38+70+30.51+17.93+21.62+52.46+36.87+0.82</f>
        <v>4344.3399999999992</v>
      </c>
      <c r="K70" s="167">
        <v>0</v>
      </c>
      <c r="L70" s="167">
        <f t="shared" si="1"/>
        <v>4344.3399999999992</v>
      </c>
      <c r="M70" s="127">
        <f t="shared" si="9"/>
        <v>361.71000000000004</v>
      </c>
      <c r="N70" s="167">
        <f t="shared" si="8"/>
        <v>0</v>
      </c>
      <c r="O70" s="167">
        <f t="shared" si="7"/>
        <v>361.71000000000004</v>
      </c>
      <c r="P70" s="178">
        <f>4+19.34+33.88+1.15000000000001-38.85+198.91-18.37+102.09-200.06+186.61+99.1+65.2+154.97+36.33-248.17+152.22+59.27+145+44.1+1.77-243.31+71.06-123.92+0.75+124.38+70+30.51-10.77-10.68+52.46-22.85</f>
        <v>736.12000000000012</v>
      </c>
      <c r="Q70" s="168"/>
      <c r="R70" s="128">
        <v>1</v>
      </c>
      <c r="S70" s="128">
        <v>0.65710000000000002</v>
      </c>
      <c r="T70" s="169">
        <f>167-2</f>
        <v>165</v>
      </c>
      <c r="U70" s="169">
        <f>167-2</f>
        <v>165</v>
      </c>
      <c r="V70" s="169">
        <v>3</v>
      </c>
      <c r="W70" s="169">
        <v>155</v>
      </c>
      <c r="X70" s="169">
        <f t="shared" si="5"/>
        <v>10</v>
      </c>
    </row>
    <row r="71" spans="1:24" ht="16.149999999999999" customHeight="1" x14ac:dyDescent="0.2">
      <c r="A71" s="173" t="s">
        <v>322</v>
      </c>
      <c r="B71" s="180" t="s">
        <v>323</v>
      </c>
      <c r="C71" s="171">
        <v>41912</v>
      </c>
      <c r="D71" s="165"/>
      <c r="E71" s="165"/>
      <c r="F71" s="165"/>
      <c r="G71" s="167">
        <v>937.19</v>
      </c>
      <c r="H71" s="167">
        <v>0</v>
      </c>
      <c r="I71" s="167">
        <f t="shared" si="6"/>
        <v>937.19</v>
      </c>
      <c r="J71" s="167">
        <f>535.27+6.17+1.83+0.93+97.59+3.42+16.63+19.19+13.91+9.65+7.32+12.04+14.12+15.09+2.83+3.82+13.07+47.79+10.28+3.97+6.32+2.07+12.55+7.44+14.76+6.68+2.38+15.53</f>
        <v>902.65000000000009</v>
      </c>
      <c r="K71" s="167">
        <v>0</v>
      </c>
      <c r="L71" s="167">
        <f t="shared" si="1"/>
        <v>902.65000000000009</v>
      </c>
      <c r="M71" s="127">
        <f t="shared" si="9"/>
        <v>34.539999999999964</v>
      </c>
      <c r="N71" s="167">
        <f t="shared" si="8"/>
        <v>0</v>
      </c>
      <c r="O71" s="167">
        <f t="shared" si="7"/>
        <v>34.539999999999964</v>
      </c>
      <c r="P71" s="178" t="s">
        <v>203</v>
      </c>
      <c r="Q71" s="168"/>
      <c r="R71" s="128">
        <v>1</v>
      </c>
      <c r="S71" s="128">
        <v>0.96</v>
      </c>
      <c r="T71" s="169">
        <v>63</v>
      </c>
      <c r="U71" s="169">
        <v>63</v>
      </c>
      <c r="V71" s="169">
        <v>1</v>
      </c>
      <c r="W71" s="169">
        <v>61</v>
      </c>
      <c r="X71" s="169">
        <f t="shared" si="5"/>
        <v>2</v>
      </c>
    </row>
    <row r="72" spans="1:24" ht="16.149999999999999" customHeight="1" x14ac:dyDescent="0.2">
      <c r="A72" s="173" t="s">
        <v>324</v>
      </c>
      <c r="B72" s="180" t="s">
        <v>325</v>
      </c>
      <c r="C72" s="171">
        <v>41983</v>
      </c>
      <c r="D72" s="165"/>
      <c r="E72" s="165"/>
      <c r="F72" s="165"/>
      <c r="G72" s="167">
        <f>1353.76-5.93</f>
        <v>1347.83</v>
      </c>
      <c r="H72" s="167">
        <v>0</v>
      </c>
      <c r="I72" s="167">
        <f t="shared" si="6"/>
        <v>1347.83</v>
      </c>
      <c r="J72" s="167">
        <f>475.67+146.28+44.61+119.39+76.15+8.47+210.27+42.95+26.15+0.88+10.65+8.22+69.7+8.65+49.39+11.13+14.8+8.52+8.05+0.89+7.01</f>
        <v>1347.8300000000008</v>
      </c>
      <c r="K72" s="167">
        <v>0</v>
      </c>
      <c r="L72" s="167">
        <f t="shared" si="1"/>
        <v>1347.8300000000008</v>
      </c>
      <c r="M72" s="127">
        <f t="shared" si="9"/>
        <v>0</v>
      </c>
      <c r="N72" s="167">
        <f t="shared" si="8"/>
        <v>0</v>
      </c>
      <c r="O72" s="167">
        <f t="shared" si="7"/>
        <v>0</v>
      </c>
      <c r="P72" s="178" t="s">
        <v>203</v>
      </c>
      <c r="Q72" s="168"/>
      <c r="R72" s="128">
        <v>1</v>
      </c>
      <c r="S72" s="128">
        <v>0.98</v>
      </c>
      <c r="T72" s="169">
        <v>79</v>
      </c>
      <c r="U72" s="169">
        <v>79</v>
      </c>
      <c r="V72" s="169">
        <v>0</v>
      </c>
      <c r="W72" s="169">
        <v>79</v>
      </c>
      <c r="X72" s="169">
        <f t="shared" si="5"/>
        <v>0</v>
      </c>
    </row>
    <row r="73" spans="1:24" ht="16.149999999999999" customHeight="1" x14ac:dyDescent="0.2">
      <c r="A73" s="173" t="s">
        <v>326</v>
      </c>
      <c r="B73" s="180" t="s">
        <v>661</v>
      </c>
      <c r="C73" s="171">
        <v>42167</v>
      </c>
      <c r="D73" s="165" t="s">
        <v>358</v>
      </c>
      <c r="E73" s="165" t="s">
        <v>515</v>
      </c>
      <c r="F73" s="165" t="s">
        <v>516</v>
      </c>
      <c r="G73" s="167">
        <f>2032.62+29.4+2.27+0.37-59.6+0.01</f>
        <v>2005.07</v>
      </c>
      <c r="H73" s="167">
        <v>0</v>
      </c>
      <c r="I73" s="167">
        <f t="shared" si="6"/>
        <v>2005.07</v>
      </c>
      <c r="J73" s="167">
        <f>1872.92+0.18+29.4+26.68+73.91+1.76+0.22</f>
        <v>2005.0700000000004</v>
      </c>
      <c r="K73" s="167">
        <v>0</v>
      </c>
      <c r="L73" s="167">
        <f t="shared" si="1"/>
        <v>2005.0700000000004</v>
      </c>
      <c r="M73" s="127">
        <f t="shared" si="9"/>
        <v>0</v>
      </c>
      <c r="N73" s="167">
        <f t="shared" si="8"/>
        <v>0</v>
      </c>
      <c r="O73" s="167">
        <f t="shared" si="7"/>
        <v>0</v>
      </c>
      <c r="P73" s="167">
        <f>1872.92-895.69+0.18-431.88-258.7-37.44+29.4-38.94-78.9-39.43+26.68-18.98+73.91+1.76-37.99-166.9+0.22-0.22</f>
        <v>-5.6843418860808015E-14</v>
      </c>
      <c r="Q73" s="168"/>
      <c r="R73" s="128">
        <v>1</v>
      </c>
      <c r="S73" s="128">
        <v>1</v>
      </c>
      <c r="T73" s="169">
        <v>108</v>
      </c>
      <c r="U73" s="169">
        <v>108</v>
      </c>
      <c r="V73" s="169">
        <v>0</v>
      </c>
      <c r="W73" s="169">
        <v>108</v>
      </c>
      <c r="X73" s="169">
        <f t="shared" si="5"/>
        <v>0</v>
      </c>
    </row>
    <row r="74" spans="1:24" ht="16.149999999999999" customHeight="1" x14ac:dyDescent="0.2">
      <c r="A74" s="173" t="s">
        <v>662</v>
      </c>
      <c r="B74" s="180" t="s">
        <v>663</v>
      </c>
      <c r="C74" s="171" t="s">
        <v>203</v>
      </c>
      <c r="D74" s="165" t="s">
        <v>203</v>
      </c>
      <c r="E74" s="165" t="s">
        <v>203</v>
      </c>
      <c r="F74" s="165" t="s">
        <v>203</v>
      </c>
      <c r="G74" s="167">
        <f>343.66+55.67+34.02</f>
        <v>433.35</v>
      </c>
      <c r="H74" s="167">
        <v>0</v>
      </c>
      <c r="I74" s="167">
        <f t="shared" ref="I74:I105" si="10">G74+H74</f>
        <v>433.35</v>
      </c>
      <c r="J74" s="167">
        <f>343.66+55.67+34.02</f>
        <v>433.35</v>
      </c>
      <c r="K74" s="167">
        <v>0</v>
      </c>
      <c r="L74" s="167">
        <f t="shared" ref="L74:L138" si="11">J74+K74</f>
        <v>433.35</v>
      </c>
      <c r="M74" s="127">
        <f t="shared" si="9"/>
        <v>0</v>
      </c>
      <c r="N74" s="167">
        <f t="shared" si="8"/>
        <v>0</v>
      </c>
      <c r="O74" s="167">
        <f t="shared" ref="O74:O105" si="12">M74+N74</f>
        <v>0</v>
      </c>
      <c r="P74" s="178" t="s">
        <v>203</v>
      </c>
      <c r="Q74" s="168"/>
      <c r="R74" s="128">
        <v>1</v>
      </c>
      <c r="S74" s="128">
        <v>1</v>
      </c>
      <c r="T74" s="169">
        <f>21+3+2</f>
        <v>26</v>
      </c>
      <c r="U74" s="169">
        <f>21+3+2</f>
        <v>26</v>
      </c>
      <c r="V74" s="169">
        <v>0</v>
      </c>
      <c r="W74" s="169">
        <v>26</v>
      </c>
      <c r="X74" s="169">
        <f t="shared" si="5"/>
        <v>0</v>
      </c>
    </row>
    <row r="75" spans="1:24" ht="16.149999999999999" customHeight="1" x14ac:dyDescent="0.2">
      <c r="A75" s="173" t="s">
        <v>334</v>
      </c>
      <c r="B75" s="180" t="s">
        <v>335</v>
      </c>
      <c r="C75" s="171" t="s">
        <v>203</v>
      </c>
      <c r="D75" s="165" t="s">
        <v>203</v>
      </c>
      <c r="E75" s="165" t="s">
        <v>203</v>
      </c>
      <c r="F75" s="165" t="s">
        <v>203</v>
      </c>
      <c r="G75" s="167">
        <f>86.25+11.9</f>
        <v>98.15</v>
      </c>
      <c r="H75" s="167">
        <v>0</v>
      </c>
      <c r="I75" s="167">
        <f t="shared" si="10"/>
        <v>98.15</v>
      </c>
      <c r="J75" s="167">
        <f>72.6+11.82+13.13</f>
        <v>97.549999999999983</v>
      </c>
      <c r="K75" s="167">
        <v>0</v>
      </c>
      <c r="L75" s="167">
        <f t="shared" si="11"/>
        <v>97.549999999999983</v>
      </c>
      <c r="M75" s="127">
        <f t="shared" si="9"/>
        <v>0.60000000000002274</v>
      </c>
      <c r="N75" s="167">
        <f t="shared" si="8"/>
        <v>0</v>
      </c>
      <c r="O75" s="167">
        <f t="shared" si="12"/>
        <v>0.60000000000002274</v>
      </c>
      <c r="P75" s="178" t="s">
        <v>203</v>
      </c>
      <c r="Q75" s="168"/>
      <c r="R75" s="128">
        <v>1</v>
      </c>
      <c r="S75" s="128">
        <v>0</v>
      </c>
      <c r="T75" s="169">
        <f>7+1</f>
        <v>8</v>
      </c>
      <c r="U75" s="169">
        <f>7+1</f>
        <v>8</v>
      </c>
      <c r="V75" s="169">
        <v>0</v>
      </c>
      <c r="W75" s="169">
        <v>8</v>
      </c>
      <c r="X75" s="169">
        <f t="shared" ref="X75:X116" si="13">T75-W75</f>
        <v>0</v>
      </c>
    </row>
    <row r="76" spans="1:24" ht="16.149999999999999" customHeight="1" x14ac:dyDescent="0.2">
      <c r="A76" s="173" t="s">
        <v>664</v>
      </c>
      <c r="B76" s="180" t="s">
        <v>665</v>
      </c>
      <c r="C76" s="171" t="s">
        <v>203</v>
      </c>
      <c r="D76" s="165" t="s">
        <v>203</v>
      </c>
      <c r="E76" s="165" t="s">
        <v>203</v>
      </c>
      <c r="F76" s="165" t="s">
        <v>203</v>
      </c>
      <c r="G76" s="167">
        <f>993.37-0.0900000000000318</f>
        <v>993.28</v>
      </c>
      <c r="H76" s="167">
        <v>0</v>
      </c>
      <c r="I76" s="167">
        <f t="shared" si="10"/>
        <v>993.28</v>
      </c>
      <c r="J76" s="167">
        <v>993.28</v>
      </c>
      <c r="K76" s="167">
        <v>0</v>
      </c>
      <c r="L76" s="167">
        <f t="shared" si="11"/>
        <v>993.28</v>
      </c>
      <c r="M76" s="127">
        <f t="shared" si="9"/>
        <v>0</v>
      </c>
      <c r="N76" s="167">
        <f t="shared" si="8"/>
        <v>0</v>
      </c>
      <c r="O76" s="167">
        <f t="shared" si="12"/>
        <v>0</v>
      </c>
      <c r="P76" s="178" t="s">
        <v>203</v>
      </c>
      <c r="Q76" s="168"/>
      <c r="R76" s="128">
        <v>1</v>
      </c>
      <c r="S76" s="128">
        <v>1</v>
      </c>
      <c r="T76" s="169">
        <v>71</v>
      </c>
      <c r="U76" s="169">
        <v>71</v>
      </c>
      <c r="V76" s="169">
        <v>0</v>
      </c>
      <c r="W76" s="169">
        <v>71</v>
      </c>
      <c r="X76" s="169">
        <f t="shared" si="13"/>
        <v>0</v>
      </c>
    </row>
    <row r="77" spans="1:24" ht="16.149999999999999" customHeight="1" x14ac:dyDescent="0.2">
      <c r="A77" s="182" t="s">
        <v>343</v>
      </c>
      <c r="B77" s="180" t="s">
        <v>517</v>
      </c>
      <c r="C77" s="171">
        <v>42299</v>
      </c>
      <c r="D77" s="165" t="s">
        <v>446</v>
      </c>
      <c r="E77" s="165" t="s">
        <v>518</v>
      </c>
      <c r="F77" s="165" t="s">
        <v>1218</v>
      </c>
      <c r="G77" s="167">
        <f>3511.56+47.86+57.28+41.98+2.67+12.48+37.2+1.8+0.39+0.44+0.29</f>
        <v>3713.9500000000003</v>
      </c>
      <c r="H77" s="167">
        <v>0</v>
      </c>
      <c r="I77" s="167">
        <f t="shared" si="10"/>
        <v>3713.9500000000003</v>
      </c>
      <c r="J77" s="167">
        <f>2790.78+25.52+6.14+23.64+40.65+31.23+12.66+19.08+45.47+28.7+10.4+47.87+7.31+20.45+21.04+18.4+146.35+8.81+14.09+16.18+9.08+15.75+24.64+10.59+9.84+34.28+3.52+28.11+5.41+1.66+4.09+31.85+3.91+2.48+26.37+3.22+4.3+0.74+17.71+0.95+0.81+8.55+7.08</f>
        <v>3589.7099999999987</v>
      </c>
      <c r="K77" s="167">
        <v>0</v>
      </c>
      <c r="L77" s="167">
        <f t="shared" si="11"/>
        <v>3589.7099999999987</v>
      </c>
      <c r="M77" s="127">
        <f t="shared" si="9"/>
        <v>124.2400000000016</v>
      </c>
      <c r="N77" s="167">
        <f t="shared" si="8"/>
        <v>0</v>
      </c>
      <c r="O77" s="167">
        <f t="shared" si="12"/>
        <v>124.2400000000016</v>
      </c>
      <c r="P77" s="167">
        <f>2790.78+25.52+6.14+23.64+40.65+31.23+12.66+19.08+45.47+28.7+10.4+47.87+7.31+20.45+21.04+18.4+146.35+8.81+14.09+16.18+9.08+15.75+24.64+10.59+9.84+34.28+3.52-2295.36+28.11-490.55+5.41-143.11+1.65+4.09-196.5+31.85+3.91+2.48+26.37+3.22-417.99+4.3-10.35+0.74+17.71-18.45+0.95+0.81+8.55+7.08</f>
        <v>17.389999999999219</v>
      </c>
      <c r="Q77" s="168"/>
      <c r="R77" s="128">
        <v>1</v>
      </c>
      <c r="S77" s="128">
        <v>1</v>
      </c>
      <c r="T77" s="169">
        <v>169</v>
      </c>
      <c r="U77" s="169">
        <v>169</v>
      </c>
      <c r="V77" s="169">
        <v>0</v>
      </c>
      <c r="W77" s="169">
        <v>169</v>
      </c>
      <c r="X77" s="169">
        <f t="shared" si="13"/>
        <v>0</v>
      </c>
    </row>
    <row r="78" spans="1:24" ht="16.149999999999999" customHeight="1" x14ac:dyDescent="0.2">
      <c r="A78" s="182" t="s">
        <v>666</v>
      </c>
      <c r="B78" s="180" t="s">
        <v>667</v>
      </c>
      <c r="C78" s="171"/>
      <c r="D78" s="171"/>
      <c r="E78" s="171"/>
      <c r="F78" s="171"/>
      <c r="G78" s="167">
        <f>746.45+50.27+15.23+2</f>
        <v>813.95</v>
      </c>
      <c r="H78" s="167">
        <v>0</v>
      </c>
      <c r="I78" s="167">
        <f t="shared" si="10"/>
        <v>813.95</v>
      </c>
      <c r="J78" s="167">
        <f>746.45+34.53+17.73+15.24</f>
        <v>813.95</v>
      </c>
      <c r="K78" s="167">
        <v>0</v>
      </c>
      <c r="L78" s="167">
        <f t="shared" si="11"/>
        <v>813.95</v>
      </c>
      <c r="M78" s="127">
        <f t="shared" si="9"/>
        <v>0</v>
      </c>
      <c r="N78" s="167">
        <f t="shared" si="8"/>
        <v>0</v>
      </c>
      <c r="O78" s="167">
        <f t="shared" si="12"/>
        <v>0</v>
      </c>
      <c r="P78" s="178" t="s">
        <v>203</v>
      </c>
      <c r="Q78" s="168"/>
      <c r="R78" s="128">
        <v>1</v>
      </c>
      <c r="S78" s="128">
        <v>1</v>
      </c>
      <c r="T78" s="169">
        <f>46+3+1</f>
        <v>50</v>
      </c>
      <c r="U78" s="169">
        <f>46+3+1</f>
        <v>50</v>
      </c>
      <c r="V78" s="169">
        <v>0</v>
      </c>
      <c r="W78" s="169">
        <v>50</v>
      </c>
      <c r="X78" s="169">
        <f t="shared" si="13"/>
        <v>0</v>
      </c>
    </row>
    <row r="79" spans="1:24" ht="16.149999999999999" customHeight="1" x14ac:dyDescent="0.2">
      <c r="A79" s="182" t="s">
        <v>344</v>
      </c>
      <c r="B79" s="180" t="s">
        <v>1219</v>
      </c>
      <c r="C79" s="171">
        <v>42609</v>
      </c>
      <c r="D79" s="177" t="s">
        <v>464</v>
      </c>
      <c r="E79" s="177" t="s">
        <v>668</v>
      </c>
      <c r="F79" s="177" t="s">
        <v>1220</v>
      </c>
      <c r="G79" s="167">
        <f>3008-25.45+1.64+13.04+30.81+3.83+1.45+2.76+0.28+2.07+2.18+3.72+7.07</f>
        <v>3051.4</v>
      </c>
      <c r="H79" s="167">
        <v>0</v>
      </c>
      <c r="I79" s="167">
        <f t="shared" si="10"/>
        <v>3051.4</v>
      </c>
      <c r="J79" s="167">
        <f>1862.22+83.13+95.36+44.27+53.51+34.61+34.25+27.52+17.65+14.58+9.65+12.81+61.99+59.11+14.05+44.22+21.45+124.49+18.91+9.07+35.99+12.86+30.83+17.15+1.64+19.45+6.44+4.59+0.411+10.71+29.07+26.32+4.29+0.807+0.28+11.3+5.63+2.04+50+4.84+3.89+0.36+8.01</f>
        <v>2929.7580000000007</v>
      </c>
      <c r="K79" s="167">
        <v>0</v>
      </c>
      <c r="L79" s="167">
        <f t="shared" si="11"/>
        <v>2929.7580000000007</v>
      </c>
      <c r="M79" s="127">
        <f t="shared" si="9"/>
        <v>121.64199999999937</v>
      </c>
      <c r="N79" s="167">
        <f t="shared" si="8"/>
        <v>0</v>
      </c>
      <c r="O79" s="167">
        <f t="shared" si="12"/>
        <v>121.64199999999937</v>
      </c>
      <c r="P79" s="167">
        <f>1862.22+83.13+95.36+44.27+53.51+34.61+34.25+27.52+17.65+14.58+9.65+12.81+61.99+59.11+14.05+44.22+21.45+124.49+18.91+9.07+35.99+12.86+30.83+17.15+1.64+19.45+6.44-1536.18+4.59-269.9+0.411+10.71+29.07-201.61+26.32-59.64+4.29+0.807-380+0.29+11.3+5.63-162.96-125.79+2.04+50+4.84-181.43+3.89-3.89+0.36+8.01</f>
        <v>8.3679999999995349</v>
      </c>
      <c r="Q79" s="168"/>
      <c r="R79" s="128">
        <v>0.97</v>
      </c>
      <c r="S79" s="128">
        <v>1</v>
      </c>
      <c r="T79" s="169">
        <v>150</v>
      </c>
      <c r="U79" s="169">
        <v>150</v>
      </c>
      <c r="V79" s="169">
        <v>0</v>
      </c>
      <c r="W79" s="169">
        <v>150</v>
      </c>
      <c r="X79" s="169">
        <f t="shared" si="13"/>
        <v>0</v>
      </c>
    </row>
    <row r="80" spans="1:24" ht="16.149999999999999" customHeight="1" x14ac:dyDescent="0.2">
      <c r="A80" s="182" t="s">
        <v>345</v>
      </c>
      <c r="B80" s="180" t="s">
        <v>465</v>
      </c>
      <c r="C80" s="171">
        <v>42727</v>
      </c>
      <c r="D80" s="165" t="s">
        <v>421</v>
      </c>
      <c r="E80" s="165" t="s">
        <v>466</v>
      </c>
      <c r="F80" s="165" t="s">
        <v>466</v>
      </c>
      <c r="G80" s="167">
        <f>1436.53+65.22+2.42+14.81+0.91+0.3+2.82+0.04+1.36-68.959</f>
        <v>1455.4509999999998</v>
      </c>
      <c r="H80" s="167">
        <v>0</v>
      </c>
      <c r="I80" s="167">
        <f t="shared" si="10"/>
        <v>1455.4509999999998</v>
      </c>
      <c r="J80" s="167">
        <f>262.11+19.12+2.36+25.25+40.02+38.35+51.11+74.29+59.48+61.26+72.14+95.95+82.85+68.31+60.65+76.74+46.21+20.38+9.89+8.78+18.18+11.87+9.77+43.89+18.48+56.32+16.91+7.53+13.66+22.65+0.75+7.83+20.94+3.79+0.351+14.77+3.93+2.45+1.3+2.82+0.04+0.57+1.14+0.26</f>
        <v>1455.4510000000005</v>
      </c>
      <c r="K80" s="167">
        <v>0</v>
      </c>
      <c r="L80" s="167">
        <f t="shared" si="11"/>
        <v>1455.4510000000005</v>
      </c>
      <c r="M80" s="127">
        <f t="shared" si="9"/>
        <v>0</v>
      </c>
      <c r="N80" s="167">
        <f t="shared" si="8"/>
        <v>0</v>
      </c>
      <c r="O80" s="167">
        <f t="shared" si="12"/>
        <v>0</v>
      </c>
      <c r="P80" s="167">
        <f>262.11+19.12+2.36+25.25+40.02+38.35+51.11+74.29+59.48+61.26+72.14+95.95+82.85+68.31+60.65+76.74+46.21+20.38+9.89+8.78+18.18+11.87+9.77+43.89+18.48+56.32+16.91+7.53+13.66+22.65+0.75+7.83+20.94+3.79+0.351-1257.29+14.77+3.93+2.45-99.35+1.3+2.82+0.04-48.56+0.57-48.85+1.14+0.26-1.4</f>
        <v>1.0000000005447873E-3</v>
      </c>
      <c r="Q80" s="168"/>
      <c r="R80" s="128">
        <v>0.99</v>
      </c>
      <c r="S80" s="128">
        <v>0.98</v>
      </c>
      <c r="T80" s="169">
        <v>65</v>
      </c>
      <c r="U80" s="169">
        <v>65</v>
      </c>
      <c r="V80" s="169">
        <v>0</v>
      </c>
      <c r="W80" s="169">
        <v>65</v>
      </c>
      <c r="X80" s="169">
        <f t="shared" si="13"/>
        <v>0</v>
      </c>
    </row>
    <row r="81" spans="1:24" ht="16.149999999999999" customHeight="1" x14ac:dyDescent="0.2">
      <c r="A81" s="182" t="s">
        <v>669</v>
      </c>
      <c r="B81" s="180" t="s">
        <v>670</v>
      </c>
      <c r="C81" s="171"/>
      <c r="D81" s="165"/>
      <c r="E81" s="165"/>
      <c r="F81" s="165"/>
      <c r="G81" s="167">
        <f>284.87+131.58</f>
        <v>416.45000000000005</v>
      </c>
      <c r="H81" s="167">
        <v>0</v>
      </c>
      <c r="I81" s="167">
        <f t="shared" si="10"/>
        <v>416.45000000000005</v>
      </c>
      <c r="J81" s="167">
        <f>284.87+109.68</f>
        <v>394.55</v>
      </c>
      <c r="K81" s="167">
        <v>0</v>
      </c>
      <c r="L81" s="167">
        <f t="shared" si="11"/>
        <v>394.55</v>
      </c>
      <c r="M81" s="127">
        <f>G81-J81-21.9</f>
        <v>3.5527136788005009E-14</v>
      </c>
      <c r="N81" s="167">
        <f t="shared" si="8"/>
        <v>0</v>
      </c>
      <c r="O81" s="167">
        <f t="shared" si="12"/>
        <v>3.5527136788005009E-14</v>
      </c>
      <c r="P81" s="178" t="s">
        <v>203</v>
      </c>
      <c r="Q81" s="168"/>
      <c r="R81" s="128">
        <v>1</v>
      </c>
      <c r="S81" s="128">
        <v>1</v>
      </c>
      <c r="T81" s="169">
        <f>13+6</f>
        <v>19</v>
      </c>
      <c r="U81" s="169">
        <f>13+6</f>
        <v>19</v>
      </c>
      <c r="V81" s="169">
        <v>1</v>
      </c>
      <c r="W81" s="169">
        <v>18</v>
      </c>
      <c r="X81" s="169">
        <f t="shared" si="13"/>
        <v>1</v>
      </c>
    </row>
    <row r="82" spans="1:24" ht="16.149999999999999" customHeight="1" x14ac:dyDescent="0.2">
      <c r="A82" s="182" t="s">
        <v>372</v>
      </c>
      <c r="B82" s="180" t="s">
        <v>359</v>
      </c>
      <c r="C82" s="171">
        <v>42609</v>
      </c>
      <c r="D82" s="165" t="s">
        <v>407</v>
      </c>
      <c r="E82" s="165" t="s">
        <v>407</v>
      </c>
      <c r="F82" s="165" t="s">
        <v>407</v>
      </c>
      <c r="G82" s="167">
        <f>645.18-2.2</f>
        <v>642.9799999999999</v>
      </c>
      <c r="H82" s="167">
        <v>0</v>
      </c>
      <c r="I82" s="167">
        <f t="shared" si="10"/>
        <v>642.9799999999999</v>
      </c>
      <c r="J82" s="167">
        <f>64+4.86+36.44+19.96+11.22+22.95+16.61+25.4+23+31.96+24.15+85.62+19.55+6.81+15.02+7.93+25.63+10.34+7.78+8.42+7.93+9.36+37.53+5.75+10+13.21+7.2+11.21+8.2+10.41+11.18+5.87+32.85+3.13+1.5</f>
        <v>642.98</v>
      </c>
      <c r="K82" s="167">
        <v>0</v>
      </c>
      <c r="L82" s="167">
        <f t="shared" si="11"/>
        <v>642.98</v>
      </c>
      <c r="M82" s="127">
        <f t="shared" ref="M82:M113" si="14">G82-J82</f>
        <v>0</v>
      </c>
      <c r="N82" s="167">
        <f t="shared" si="8"/>
        <v>0</v>
      </c>
      <c r="O82" s="167">
        <f t="shared" si="12"/>
        <v>0</v>
      </c>
      <c r="P82" s="178" t="s">
        <v>203</v>
      </c>
      <c r="Q82" s="168"/>
      <c r="R82" s="128">
        <v>1</v>
      </c>
      <c r="S82" s="128">
        <v>1</v>
      </c>
      <c r="T82" s="169">
        <v>44</v>
      </c>
      <c r="U82" s="169">
        <v>44</v>
      </c>
      <c r="V82" s="169">
        <v>0</v>
      </c>
      <c r="W82" s="169">
        <v>44</v>
      </c>
      <c r="X82" s="169">
        <f t="shared" si="13"/>
        <v>0</v>
      </c>
    </row>
    <row r="83" spans="1:24" ht="16.149999999999999" customHeight="1" x14ac:dyDescent="0.2">
      <c r="A83" s="182" t="s">
        <v>671</v>
      </c>
      <c r="B83" s="180" t="s">
        <v>672</v>
      </c>
      <c r="C83" s="171"/>
      <c r="D83" s="165"/>
      <c r="E83" s="165"/>
      <c r="F83" s="165"/>
      <c r="G83" s="167">
        <f>351.89+197.7+17.77+17.85</f>
        <v>585.20999999999992</v>
      </c>
      <c r="H83" s="167">
        <v>0</v>
      </c>
      <c r="I83" s="167">
        <f t="shared" si="10"/>
        <v>585.20999999999992</v>
      </c>
      <c r="J83" s="167">
        <f>351.89+197.7+17.77+17.85</f>
        <v>585.20999999999992</v>
      </c>
      <c r="K83" s="167">
        <v>0</v>
      </c>
      <c r="L83" s="167">
        <f t="shared" si="11"/>
        <v>585.20999999999992</v>
      </c>
      <c r="M83" s="127">
        <f t="shared" si="14"/>
        <v>0</v>
      </c>
      <c r="N83" s="167">
        <f t="shared" si="8"/>
        <v>0</v>
      </c>
      <c r="O83" s="167">
        <f t="shared" si="12"/>
        <v>0</v>
      </c>
      <c r="P83" s="178" t="s">
        <v>203</v>
      </c>
      <c r="Q83" s="168"/>
      <c r="R83" s="128">
        <v>1</v>
      </c>
      <c r="S83" s="128">
        <v>1</v>
      </c>
      <c r="T83" s="169">
        <f>19+11+1+1</f>
        <v>32</v>
      </c>
      <c r="U83" s="169">
        <f>19+11+1+1</f>
        <v>32</v>
      </c>
      <c r="V83" s="169">
        <v>0</v>
      </c>
      <c r="W83" s="169">
        <v>32</v>
      </c>
      <c r="X83" s="169">
        <f t="shared" si="13"/>
        <v>0</v>
      </c>
    </row>
    <row r="84" spans="1:24" ht="16.149999999999999" customHeight="1" x14ac:dyDescent="0.2">
      <c r="A84" s="182" t="s">
        <v>373</v>
      </c>
      <c r="B84" s="180" t="s">
        <v>673</v>
      </c>
      <c r="C84" s="171">
        <v>42846</v>
      </c>
      <c r="D84" s="165" t="s">
        <v>422</v>
      </c>
      <c r="E84" s="165" t="s">
        <v>519</v>
      </c>
      <c r="F84" s="165" t="s">
        <v>1221</v>
      </c>
      <c r="G84" s="167">
        <v>2954.78</v>
      </c>
      <c r="H84" s="167">
        <v>0</v>
      </c>
      <c r="I84" s="167">
        <f t="shared" si="10"/>
        <v>2954.78</v>
      </c>
      <c r="J84" s="167">
        <f>336.52+56.06+4.8+81.23+164.59+95.98+145.21+153.59+160.02+176.02+301.01+150.35+110.88+111.13+109.49+102.91+48.43+90+120.31+2.26+74.18+7+50.72+0.69+13.98+27.17+25.59+5.19+28.45+15.67+8.14+9.93+8.62+7.7</f>
        <v>2803.8199999999988</v>
      </c>
      <c r="K84" s="167">
        <v>0</v>
      </c>
      <c r="L84" s="167">
        <f t="shared" si="11"/>
        <v>2803.8199999999988</v>
      </c>
      <c r="M84" s="127">
        <f t="shared" si="14"/>
        <v>150.9600000000014</v>
      </c>
      <c r="N84" s="167">
        <f t="shared" si="8"/>
        <v>0</v>
      </c>
      <c r="O84" s="167">
        <f t="shared" si="12"/>
        <v>150.9600000000014</v>
      </c>
      <c r="P84" s="167">
        <f>25.59+5.19+28.45+15.67+8.14+9.93+8.62+7.7</f>
        <v>109.29</v>
      </c>
      <c r="Q84" s="168"/>
      <c r="R84" s="128">
        <v>0.87</v>
      </c>
      <c r="S84" s="128">
        <v>0.99</v>
      </c>
      <c r="T84" s="169">
        <v>147</v>
      </c>
      <c r="U84" s="169">
        <v>147</v>
      </c>
      <c r="V84" s="169">
        <v>0</v>
      </c>
      <c r="W84" s="169">
        <v>147</v>
      </c>
      <c r="X84" s="169">
        <f t="shared" si="13"/>
        <v>0</v>
      </c>
    </row>
    <row r="85" spans="1:24" ht="16.149999999999999" customHeight="1" x14ac:dyDescent="0.2">
      <c r="A85" s="182" t="s">
        <v>674</v>
      </c>
      <c r="B85" s="183" t="s">
        <v>675</v>
      </c>
      <c r="C85" s="171"/>
      <c r="D85" s="165"/>
      <c r="E85" s="165"/>
      <c r="F85" s="165"/>
      <c r="G85" s="167">
        <f>356.56+215.31</f>
        <v>571.87</v>
      </c>
      <c r="H85" s="167">
        <v>0</v>
      </c>
      <c r="I85" s="167">
        <f t="shared" si="10"/>
        <v>571.87</v>
      </c>
      <c r="J85" s="167">
        <f>356.56+178.54+36.77</f>
        <v>571.87</v>
      </c>
      <c r="K85" s="167">
        <v>0</v>
      </c>
      <c r="L85" s="167">
        <f t="shared" si="11"/>
        <v>571.87</v>
      </c>
      <c r="M85" s="127">
        <f t="shared" si="14"/>
        <v>0</v>
      </c>
      <c r="N85" s="167">
        <f t="shared" si="8"/>
        <v>0</v>
      </c>
      <c r="O85" s="167">
        <f t="shared" si="12"/>
        <v>0</v>
      </c>
      <c r="P85" s="178" t="s">
        <v>203</v>
      </c>
      <c r="Q85" s="168"/>
      <c r="R85" s="128">
        <v>1</v>
      </c>
      <c r="S85" s="128">
        <v>1</v>
      </c>
      <c r="T85" s="169">
        <f>19+11</f>
        <v>30</v>
      </c>
      <c r="U85" s="169">
        <f>19+11</f>
        <v>30</v>
      </c>
      <c r="V85" s="169">
        <v>0</v>
      </c>
      <c r="W85" s="169">
        <v>30</v>
      </c>
      <c r="X85" s="169">
        <f t="shared" si="13"/>
        <v>0</v>
      </c>
    </row>
    <row r="86" spans="1:24" ht="16.149999999999999" customHeight="1" x14ac:dyDescent="0.2">
      <c r="A86" s="182" t="s">
        <v>382</v>
      </c>
      <c r="B86" s="180" t="s">
        <v>676</v>
      </c>
      <c r="C86" s="171">
        <v>42839</v>
      </c>
      <c r="D86" s="165" t="s">
        <v>467</v>
      </c>
      <c r="E86" s="165" t="s">
        <v>520</v>
      </c>
      <c r="F86" s="165" t="s">
        <v>677</v>
      </c>
      <c r="G86" s="167">
        <f>1053.77+34.71+0.88+6.15+3.52-68.4236</f>
        <v>1030.6064000000001</v>
      </c>
      <c r="H86" s="167">
        <v>0</v>
      </c>
      <c r="I86" s="167">
        <f t="shared" si="10"/>
        <v>1030.6064000000001</v>
      </c>
      <c r="J86" s="167">
        <f>39.91+33.46+10.33+13.79+32.77+19.31+20.44+34.72+18.13+67.31+48.48+70.39+45.97+56.23+50.35+52.56+18.92+30.14+20.69+19.15+9.57+11.34+4.95+6.81+3.81+10.23+15.6+40.03+19.66+5.66+5.84+29.59+11.72+4.35+3.9+10.7+0.98+5.83+5.08+14.41+4.59+3.18+20.35+16.74+3.61+18.21+5.75+1.95+1.38+2.59+1.38+1.38+7.5+1.62+0.39+0.3+4.37+8.69+3.51638712</f>
        <v>1030.6063871200004</v>
      </c>
      <c r="K86" s="167">
        <v>0</v>
      </c>
      <c r="L86" s="167">
        <f t="shared" si="11"/>
        <v>1030.6063871200004</v>
      </c>
      <c r="M86" s="127">
        <f t="shared" si="14"/>
        <v>1.2879999758297345E-5</v>
      </c>
      <c r="N86" s="167">
        <f t="shared" si="8"/>
        <v>0</v>
      </c>
      <c r="O86" s="167">
        <f t="shared" si="12"/>
        <v>1.2879999758297345E-5</v>
      </c>
      <c r="P86" s="167">
        <f>39.91+33.46+10.33+13.79+32.77+19.31+20.44+34.72+18.13+67.31+48.48+70.39+45.97+56.23+50.35+52.56+18.92+30.14+20.69+19.15+9.57+11.34+4.95+6.81+3.81+10.23+15.6+40.03+19.66+5.66+5.84+29.59+11.72+4.35+3.9+10.7+0.98+5.83+5.08+14.41+4.59+3.18+20.35+16.74+3.61-527.43+18.21+5.75-184.54+1.95-26.08+1.38+2.59-0.08+1.38-52.17+1.38+7.5-132.07+1.62-26.08-26.47+0.39-38.81+0.3-0.3+4.37+8.69+3.51638712-16.572556</f>
        <v>3.8311200002567602E-3</v>
      </c>
      <c r="Q86" s="168"/>
      <c r="R86" s="128">
        <v>0.9</v>
      </c>
      <c r="S86" s="128">
        <v>0.92</v>
      </c>
      <c r="T86" s="169">
        <v>40</v>
      </c>
      <c r="U86" s="169">
        <v>40</v>
      </c>
      <c r="V86" s="169">
        <v>0</v>
      </c>
      <c r="W86" s="169">
        <v>40</v>
      </c>
      <c r="X86" s="169">
        <f>+U86-W86</f>
        <v>0</v>
      </c>
    </row>
    <row r="87" spans="1:24" ht="16.149999999999999" customHeight="1" x14ac:dyDescent="0.2">
      <c r="A87" s="182" t="s">
        <v>678</v>
      </c>
      <c r="B87" s="180" t="s">
        <v>679</v>
      </c>
      <c r="C87" s="171"/>
      <c r="D87" s="165"/>
      <c r="E87" s="165"/>
      <c r="F87" s="165"/>
      <c r="G87" s="167">
        <v>856.05</v>
      </c>
      <c r="H87" s="167">
        <v>0</v>
      </c>
      <c r="I87" s="167">
        <f t="shared" si="10"/>
        <v>856.05</v>
      </c>
      <c r="J87" s="167">
        <f>821.88+34.17</f>
        <v>856.05</v>
      </c>
      <c r="K87" s="167">
        <v>0</v>
      </c>
      <c r="L87" s="167">
        <f t="shared" si="11"/>
        <v>856.05</v>
      </c>
      <c r="M87" s="127">
        <f t="shared" si="14"/>
        <v>0</v>
      </c>
      <c r="N87" s="167">
        <f t="shared" si="8"/>
        <v>0</v>
      </c>
      <c r="O87" s="167">
        <f t="shared" si="12"/>
        <v>0</v>
      </c>
      <c r="P87" s="178" t="s">
        <v>203</v>
      </c>
      <c r="Q87" s="168"/>
      <c r="R87" s="128">
        <v>1</v>
      </c>
      <c r="S87" s="128">
        <v>1</v>
      </c>
      <c r="T87" s="169">
        <v>50</v>
      </c>
      <c r="U87" s="169">
        <v>50</v>
      </c>
      <c r="V87" s="169">
        <v>0</v>
      </c>
      <c r="W87" s="169">
        <v>50</v>
      </c>
      <c r="X87" s="169">
        <f t="shared" si="13"/>
        <v>0</v>
      </c>
    </row>
    <row r="88" spans="1:24" ht="16.149999999999999" customHeight="1" x14ac:dyDescent="0.2">
      <c r="A88" s="173" t="s">
        <v>680</v>
      </c>
      <c r="B88" s="180" t="s">
        <v>681</v>
      </c>
      <c r="C88" s="171" t="s">
        <v>203</v>
      </c>
      <c r="D88" s="165" t="s">
        <v>203</v>
      </c>
      <c r="E88" s="165" t="s">
        <v>203</v>
      </c>
      <c r="F88" s="165" t="s">
        <v>203</v>
      </c>
      <c r="G88" s="167">
        <f>1524.32+107.08+360.19+153.13+22.72</f>
        <v>2167.4399999999996</v>
      </c>
      <c r="H88" s="167">
        <v>0</v>
      </c>
      <c r="I88" s="167">
        <f t="shared" si="10"/>
        <v>2167.4399999999996</v>
      </c>
      <c r="J88" s="167">
        <f>1631.4+187.65+151.68+20.86+151.03+22.41+2.41</f>
        <v>2167.44</v>
      </c>
      <c r="K88" s="167">
        <v>0</v>
      </c>
      <c r="L88" s="167">
        <f t="shared" si="11"/>
        <v>2167.44</v>
      </c>
      <c r="M88" s="127">
        <f t="shared" si="14"/>
        <v>0</v>
      </c>
      <c r="N88" s="167">
        <f t="shared" ref="N88:N119" si="15">H88-K88</f>
        <v>0</v>
      </c>
      <c r="O88" s="167">
        <f t="shared" si="12"/>
        <v>0</v>
      </c>
      <c r="P88" s="178" t="s">
        <v>203</v>
      </c>
      <c r="Q88" s="168"/>
      <c r="R88" s="128">
        <v>1</v>
      </c>
      <c r="S88" s="128">
        <v>1</v>
      </c>
      <c r="T88" s="169">
        <f>71+5+17+7+1</f>
        <v>101</v>
      </c>
      <c r="U88" s="169">
        <f>71+5+17+7+1</f>
        <v>101</v>
      </c>
      <c r="V88" s="169">
        <v>0</v>
      </c>
      <c r="W88" s="169">
        <v>101</v>
      </c>
      <c r="X88" s="169">
        <f t="shared" si="13"/>
        <v>0</v>
      </c>
    </row>
    <row r="89" spans="1:24" ht="16.149999999999999" customHeight="1" x14ac:dyDescent="0.2">
      <c r="A89" s="173" t="s">
        <v>383</v>
      </c>
      <c r="B89" s="180" t="s">
        <v>1222</v>
      </c>
      <c r="C89" s="171">
        <v>43153</v>
      </c>
      <c r="D89" s="165" t="s">
        <v>468</v>
      </c>
      <c r="E89" s="165" t="s">
        <v>682</v>
      </c>
      <c r="F89" s="165" t="s">
        <v>1223</v>
      </c>
      <c r="G89" s="167">
        <f>3898.59+270.41+62+5.3+0.02058725+0.0273186046186946</f>
        <v>4236.3479058546191</v>
      </c>
      <c r="H89" s="167">
        <v>0</v>
      </c>
      <c r="I89" s="167">
        <f t="shared" si="10"/>
        <v>4236.3479058546191</v>
      </c>
      <c r="J89" s="167">
        <f>345.4+48.66+8.26+56.95+38.48+56.83+47.07+53.37+10.66+25.18+32.43+76.74+126.82+20+127.2+159.57+169.72+139.14+176.27+206.36+216.84+143.34+200.32+61.15+139.08+98.18+91.79+81.28+91.13+166.35+15.29+32.8+57.19+106.46+85.43+200+11.48+42.1+120+17.36+21.85+28.68+12.5+1.91+17.01+32.5+8.58+62.47+16.42+1.97+4.46+5.3+7.57+1.91+7.11</f>
        <v>4132.92</v>
      </c>
      <c r="K89" s="167">
        <v>0</v>
      </c>
      <c r="L89" s="167">
        <f t="shared" si="11"/>
        <v>4132.92</v>
      </c>
      <c r="M89" s="127">
        <f t="shared" si="14"/>
        <v>103.42790585461898</v>
      </c>
      <c r="N89" s="167">
        <f t="shared" si="15"/>
        <v>0</v>
      </c>
      <c r="O89" s="167">
        <f t="shared" si="12"/>
        <v>103.42790585461898</v>
      </c>
      <c r="P89" s="167">
        <f>345.4+48.66+8.26+56.95+38.48+56.83+47.07+53.37+10.66+25.18+32.43+76.74+126.82+20+127.2+159.57+169.72+139.14+176.27+206.36+216.84+143.34+200.31+61.15+139.08+98.18+91.79+81.28+91.13+166.35+15.29+32.8+57.19+106.46+85.43+200+11.48+42.1+120-1661.52-22.57-21.51+17.36+21.85+28.68-1237.3+12.5+1.91-179.33+17.01+32.5-822.38+8.58-44.13+62.47-99.43+16.42-16.42+1.97+4.46+5.3+7.57+1.91+7.11</f>
        <v>28.319999999999972</v>
      </c>
      <c r="Q89" s="168"/>
      <c r="R89" s="128">
        <v>1</v>
      </c>
      <c r="S89" s="128">
        <v>1</v>
      </c>
      <c r="T89" s="169">
        <v>187</v>
      </c>
      <c r="U89" s="169">
        <v>187</v>
      </c>
      <c r="V89" s="169">
        <v>0</v>
      </c>
      <c r="W89" s="169">
        <v>187</v>
      </c>
      <c r="X89" s="169">
        <f t="shared" si="13"/>
        <v>0</v>
      </c>
    </row>
    <row r="90" spans="1:24" ht="16.149999999999999" customHeight="1" x14ac:dyDescent="0.2">
      <c r="A90" s="173" t="s">
        <v>683</v>
      </c>
      <c r="B90" s="177" t="s">
        <v>684</v>
      </c>
      <c r="C90" s="171" t="s">
        <v>203</v>
      </c>
      <c r="D90" s="165" t="s">
        <v>203</v>
      </c>
      <c r="E90" s="165" t="s">
        <v>203</v>
      </c>
      <c r="F90" s="165" t="s">
        <v>203</v>
      </c>
      <c r="G90" s="167">
        <f>675.23+143.98+30.8+91.17-15.4</f>
        <v>925.78</v>
      </c>
      <c r="H90" s="167">
        <v>0</v>
      </c>
      <c r="I90" s="167">
        <f t="shared" si="10"/>
        <v>925.78</v>
      </c>
      <c r="J90" s="167">
        <f>644.42+143.98+30.8+15.4+91.18</f>
        <v>925.78</v>
      </c>
      <c r="K90" s="167">
        <v>0</v>
      </c>
      <c r="L90" s="167">
        <f t="shared" si="11"/>
        <v>925.78</v>
      </c>
      <c r="M90" s="127">
        <f t="shared" si="14"/>
        <v>0</v>
      </c>
      <c r="N90" s="167">
        <f t="shared" si="15"/>
        <v>0</v>
      </c>
      <c r="O90" s="167">
        <f t="shared" si="12"/>
        <v>0</v>
      </c>
      <c r="P90" s="184" t="s">
        <v>203</v>
      </c>
      <c r="Q90" s="168"/>
      <c r="R90" s="128">
        <v>1</v>
      </c>
      <c r="S90" s="128">
        <v>1</v>
      </c>
      <c r="T90" s="174">
        <f>43+9+2+6</f>
        <v>60</v>
      </c>
      <c r="U90" s="174">
        <f>43+9+2+6</f>
        <v>60</v>
      </c>
      <c r="V90" s="174">
        <v>1</v>
      </c>
      <c r="W90" s="174">
        <v>59</v>
      </c>
      <c r="X90" s="169">
        <f t="shared" si="13"/>
        <v>1</v>
      </c>
    </row>
    <row r="91" spans="1:24" ht="16.149999999999999" customHeight="1" x14ac:dyDescent="0.2">
      <c r="A91" s="182" t="s">
        <v>384</v>
      </c>
      <c r="B91" s="177" t="s">
        <v>685</v>
      </c>
      <c r="C91" s="171">
        <v>43157</v>
      </c>
      <c r="D91" s="165" t="s">
        <v>686</v>
      </c>
      <c r="E91" s="165" t="s">
        <v>687</v>
      </c>
      <c r="F91" s="165" t="s">
        <v>688</v>
      </c>
      <c r="G91" s="167">
        <f>3102.73+16+103.99+28.65+67.47+45.11+6.6</f>
        <v>3370.5499999999997</v>
      </c>
      <c r="H91" s="167">
        <v>0</v>
      </c>
      <c r="I91" s="167">
        <f t="shared" si="10"/>
        <v>3370.5499999999997</v>
      </c>
      <c r="J91" s="167">
        <f>1850.19+72.13+89.5+32.73+45.92+20.02+98.79+26.01+10.61+102.25+30.55+126.11+10.46+8.96+6.8+3.62+4.4+6.84+14.81+15.8+25.18+60.8+20.73+20.04+21.7+10.92+6.07+28.66+27.16+10.71+19.18+24.99+47.28+49.68+41.98+1.71+9.94+8.67+6.35+10.36+14.69+4.45+5.94+6.81+6.6+8.3</f>
        <v>3075.400000000001</v>
      </c>
      <c r="K91" s="167">
        <v>0</v>
      </c>
      <c r="L91" s="167">
        <f t="shared" si="11"/>
        <v>3075.400000000001</v>
      </c>
      <c r="M91" s="127">
        <f t="shared" si="14"/>
        <v>295.14999999999873</v>
      </c>
      <c r="N91" s="167">
        <f t="shared" si="15"/>
        <v>0</v>
      </c>
      <c r="O91" s="167">
        <f t="shared" si="12"/>
        <v>295.14999999999873</v>
      </c>
      <c r="P91" s="167">
        <f>1850.19+72.13+89.5+32.73+45.92+20.02+98.79+26.01+10.61+102.25+30.55+126.11+10.46+8.96+6.8+3.62+4.4+6.84+14.81+15.8+25.18+60.8+20.73+20.04+21.7+10.92+6.07+28.66+27.16+10.71+19.18+24.99+47.28+49.68+41.98+1.71+9.94+8.67+6.35+10.36+14.69+4.45+5.94+6.81+6.6+8.3</f>
        <v>3075.400000000001</v>
      </c>
      <c r="Q91" s="168"/>
      <c r="R91" s="128">
        <v>0.90359999999999996</v>
      </c>
      <c r="S91" s="128">
        <v>0.9748</v>
      </c>
      <c r="T91" s="174">
        <v>150</v>
      </c>
      <c r="U91" s="174">
        <v>150</v>
      </c>
      <c r="V91" s="174">
        <v>0</v>
      </c>
      <c r="W91" s="174">
        <v>0</v>
      </c>
      <c r="X91" s="169">
        <f t="shared" si="13"/>
        <v>150</v>
      </c>
    </row>
    <row r="92" spans="1:24" ht="16.149999999999999" customHeight="1" x14ac:dyDescent="0.2">
      <c r="A92" s="182" t="s">
        <v>397</v>
      </c>
      <c r="B92" s="177" t="s">
        <v>408</v>
      </c>
      <c r="C92" s="171"/>
      <c r="D92" s="165"/>
      <c r="E92" s="165"/>
      <c r="F92" s="165"/>
      <c r="G92" s="167">
        <f>114.24+31.5</f>
        <v>145.74</v>
      </c>
      <c r="H92" s="167">
        <v>0</v>
      </c>
      <c r="I92" s="167">
        <f t="shared" si="10"/>
        <v>145.74</v>
      </c>
      <c r="J92" s="167">
        <f>83.4+58.84+1.8+1.7</f>
        <v>145.74</v>
      </c>
      <c r="K92" s="167">
        <v>0</v>
      </c>
      <c r="L92" s="167">
        <f t="shared" si="11"/>
        <v>145.74</v>
      </c>
      <c r="M92" s="127">
        <f t="shared" si="14"/>
        <v>0</v>
      </c>
      <c r="N92" s="167">
        <f t="shared" si="15"/>
        <v>0</v>
      </c>
      <c r="O92" s="167">
        <f t="shared" si="12"/>
        <v>0</v>
      </c>
      <c r="P92" s="184" t="s">
        <v>203</v>
      </c>
      <c r="Q92" s="168"/>
      <c r="R92" s="128">
        <v>1</v>
      </c>
      <c r="S92" s="128">
        <v>0</v>
      </c>
      <c r="T92" s="174">
        <f>8+2</f>
        <v>10</v>
      </c>
      <c r="U92" s="174">
        <f>8+2</f>
        <v>10</v>
      </c>
      <c r="V92" s="174">
        <v>0</v>
      </c>
      <c r="W92" s="174">
        <v>10</v>
      </c>
      <c r="X92" s="169">
        <f t="shared" si="13"/>
        <v>0</v>
      </c>
    </row>
    <row r="93" spans="1:24" ht="16.149999999999999" customHeight="1" x14ac:dyDescent="0.2">
      <c r="A93" s="182" t="s">
        <v>689</v>
      </c>
      <c r="B93" s="177" t="s">
        <v>690</v>
      </c>
      <c r="C93" s="171" t="s">
        <v>203</v>
      </c>
      <c r="D93" s="165" t="s">
        <v>203</v>
      </c>
      <c r="E93" s="165" t="s">
        <v>203</v>
      </c>
      <c r="F93" s="165" t="s">
        <v>203</v>
      </c>
      <c r="G93" s="167">
        <f>1353.74+275.39+87.14+26.29</f>
        <v>1742.5600000000002</v>
      </c>
      <c r="H93" s="167">
        <v>0</v>
      </c>
      <c r="I93" s="167">
        <f t="shared" si="10"/>
        <v>1742.5600000000002</v>
      </c>
      <c r="J93" s="167">
        <f>1604.46+111.81+26.29</f>
        <v>1742.56</v>
      </c>
      <c r="K93" s="167">
        <v>0</v>
      </c>
      <c r="L93" s="167">
        <f t="shared" si="11"/>
        <v>1742.56</v>
      </c>
      <c r="M93" s="127">
        <f t="shared" si="14"/>
        <v>0</v>
      </c>
      <c r="N93" s="167">
        <f t="shared" si="15"/>
        <v>0</v>
      </c>
      <c r="O93" s="167">
        <f t="shared" si="12"/>
        <v>0</v>
      </c>
      <c r="P93" s="184" t="s">
        <v>203</v>
      </c>
      <c r="Q93" s="168"/>
      <c r="R93" s="128">
        <v>1</v>
      </c>
      <c r="S93" s="128">
        <v>1</v>
      </c>
      <c r="T93" s="174">
        <f>49+10+3+1</f>
        <v>63</v>
      </c>
      <c r="U93" s="174">
        <f>49+10+3+1</f>
        <v>63</v>
      </c>
      <c r="V93" s="174">
        <v>0</v>
      </c>
      <c r="W93" s="174">
        <v>63</v>
      </c>
      <c r="X93" s="169">
        <f t="shared" si="13"/>
        <v>0</v>
      </c>
    </row>
    <row r="94" spans="1:24" ht="16.149999999999999" customHeight="1" x14ac:dyDescent="0.2">
      <c r="A94" s="182" t="s">
        <v>398</v>
      </c>
      <c r="B94" s="177">
        <v>42534</v>
      </c>
      <c r="C94" s="171"/>
      <c r="D94" s="165"/>
      <c r="E94" s="165"/>
      <c r="F94" s="165"/>
      <c r="G94" s="167">
        <f>651.97-1.905</f>
        <v>650.06500000000005</v>
      </c>
      <c r="H94" s="167">
        <v>0</v>
      </c>
      <c r="I94" s="167">
        <f t="shared" si="10"/>
        <v>650.06500000000005</v>
      </c>
      <c r="J94" s="167">
        <f>204.96+27.57+26.58+82.49+40.75+19.1+12.14+28.41+22.32+19.055+17.39+5.88+87.95+15.69+12.14+4.95+6.62+16.07</f>
        <v>650.06500000000017</v>
      </c>
      <c r="K94" s="167">
        <v>0</v>
      </c>
      <c r="L94" s="167">
        <f t="shared" si="11"/>
        <v>650.06500000000017</v>
      </c>
      <c r="M94" s="127">
        <f t="shared" si="14"/>
        <v>0</v>
      </c>
      <c r="N94" s="167">
        <f t="shared" si="15"/>
        <v>0</v>
      </c>
      <c r="O94" s="167">
        <f t="shared" si="12"/>
        <v>0</v>
      </c>
      <c r="P94" s="184" t="s">
        <v>203</v>
      </c>
      <c r="Q94" s="168"/>
      <c r="R94" s="128">
        <v>1</v>
      </c>
      <c r="S94" s="128">
        <v>0.93</v>
      </c>
      <c r="T94" s="174">
        <v>38</v>
      </c>
      <c r="U94" s="174">
        <v>38</v>
      </c>
      <c r="V94" s="174">
        <v>0</v>
      </c>
      <c r="W94" s="174">
        <v>38</v>
      </c>
      <c r="X94" s="169">
        <f t="shared" si="13"/>
        <v>0</v>
      </c>
    </row>
    <row r="95" spans="1:24" ht="16.149999999999999" customHeight="1" x14ac:dyDescent="0.2">
      <c r="A95" s="182" t="s">
        <v>691</v>
      </c>
      <c r="B95" s="177">
        <v>42562</v>
      </c>
      <c r="C95" s="171" t="s">
        <v>203</v>
      </c>
      <c r="D95" s="165" t="s">
        <v>203</v>
      </c>
      <c r="E95" s="165" t="s">
        <v>203</v>
      </c>
      <c r="F95" s="165" t="s">
        <v>203</v>
      </c>
      <c r="G95" s="167">
        <v>466.1</v>
      </c>
      <c r="H95" s="167">
        <v>0</v>
      </c>
      <c r="I95" s="167">
        <f t="shared" si="10"/>
        <v>466.1</v>
      </c>
      <c r="J95" s="167">
        <v>466.1</v>
      </c>
      <c r="K95" s="167">
        <v>0</v>
      </c>
      <c r="L95" s="167">
        <f t="shared" si="11"/>
        <v>466.1</v>
      </c>
      <c r="M95" s="127">
        <f t="shared" si="14"/>
        <v>0</v>
      </c>
      <c r="N95" s="167">
        <f t="shared" si="15"/>
        <v>0</v>
      </c>
      <c r="O95" s="167">
        <f t="shared" si="12"/>
        <v>0</v>
      </c>
      <c r="P95" s="184" t="s">
        <v>203</v>
      </c>
      <c r="Q95" s="168"/>
      <c r="R95" s="128">
        <v>1</v>
      </c>
      <c r="S95" s="128">
        <v>1</v>
      </c>
      <c r="T95" s="174">
        <v>27</v>
      </c>
      <c r="U95" s="174">
        <v>27</v>
      </c>
      <c r="V95" s="174">
        <v>0</v>
      </c>
      <c r="W95" s="174">
        <v>27</v>
      </c>
      <c r="X95" s="169">
        <f t="shared" si="13"/>
        <v>0</v>
      </c>
    </row>
    <row r="96" spans="1:24" ht="16.149999999999999" customHeight="1" x14ac:dyDescent="0.2">
      <c r="A96" s="182" t="s">
        <v>409</v>
      </c>
      <c r="B96" s="177">
        <v>42604</v>
      </c>
      <c r="C96" s="171" t="s">
        <v>203</v>
      </c>
      <c r="D96" s="165" t="s">
        <v>203</v>
      </c>
      <c r="E96" s="165" t="s">
        <v>203</v>
      </c>
      <c r="F96" s="165" t="s">
        <v>203</v>
      </c>
      <c r="G96" s="167">
        <f>230.89-0.8</f>
        <v>230.08999999999997</v>
      </c>
      <c r="H96" s="167">
        <v>0</v>
      </c>
      <c r="I96" s="167">
        <f t="shared" si="10"/>
        <v>230.08999999999997</v>
      </c>
      <c r="J96" s="167">
        <v>230.09</v>
      </c>
      <c r="K96" s="167">
        <v>0</v>
      </c>
      <c r="L96" s="167">
        <f t="shared" si="11"/>
        <v>230.09</v>
      </c>
      <c r="M96" s="127">
        <f t="shared" si="14"/>
        <v>0</v>
      </c>
      <c r="N96" s="167">
        <f t="shared" si="15"/>
        <v>0</v>
      </c>
      <c r="O96" s="167">
        <f t="shared" si="12"/>
        <v>0</v>
      </c>
      <c r="P96" s="184" t="s">
        <v>203</v>
      </c>
      <c r="Q96" s="168"/>
      <c r="R96" s="128">
        <v>1</v>
      </c>
      <c r="S96" s="128">
        <v>0</v>
      </c>
      <c r="T96" s="169">
        <v>9</v>
      </c>
      <c r="U96" s="169">
        <v>9</v>
      </c>
      <c r="V96" s="169">
        <v>0</v>
      </c>
      <c r="W96" s="169">
        <v>9</v>
      </c>
      <c r="X96" s="169">
        <f t="shared" si="13"/>
        <v>0</v>
      </c>
    </row>
    <row r="97" spans="1:24" ht="16.149999999999999" customHeight="1" x14ac:dyDescent="0.2">
      <c r="A97" s="182" t="s">
        <v>1224</v>
      </c>
      <c r="B97" s="177" t="s">
        <v>1225</v>
      </c>
      <c r="C97" s="171" t="s">
        <v>1226</v>
      </c>
      <c r="D97" s="165"/>
      <c r="E97" s="165"/>
      <c r="F97" s="165"/>
      <c r="G97" s="167">
        <v>0</v>
      </c>
      <c r="H97" s="167">
        <f>478.09+1.62+3.56+4.83</f>
        <v>488.09999999999997</v>
      </c>
      <c r="I97" s="167">
        <f t="shared" si="10"/>
        <v>488.09999999999997</v>
      </c>
      <c r="J97" s="167">
        <v>0</v>
      </c>
      <c r="K97" s="167">
        <f>4.2+1.62+4.6+32.82+26.1</f>
        <v>69.34</v>
      </c>
      <c r="L97" s="167">
        <f t="shared" si="11"/>
        <v>69.34</v>
      </c>
      <c r="M97" s="127">
        <f t="shared" si="14"/>
        <v>0</v>
      </c>
      <c r="N97" s="167">
        <f t="shared" si="15"/>
        <v>418.76</v>
      </c>
      <c r="O97" s="167">
        <f t="shared" si="12"/>
        <v>418.76</v>
      </c>
      <c r="P97" s="184" t="s">
        <v>203</v>
      </c>
      <c r="Q97" s="168"/>
      <c r="R97" s="128">
        <v>0</v>
      </c>
      <c r="S97" s="128">
        <v>1</v>
      </c>
      <c r="T97" s="169">
        <v>0</v>
      </c>
      <c r="U97" s="181">
        <v>3013</v>
      </c>
      <c r="V97" s="169">
        <v>0</v>
      </c>
      <c r="W97" s="169">
        <v>0</v>
      </c>
      <c r="X97" s="169">
        <f t="shared" si="13"/>
        <v>0</v>
      </c>
    </row>
    <row r="98" spans="1:24" ht="16.149999999999999" customHeight="1" x14ac:dyDescent="0.2">
      <c r="A98" s="182" t="s">
        <v>410</v>
      </c>
      <c r="B98" s="177" t="s">
        <v>1227</v>
      </c>
      <c r="C98" s="171">
        <v>43202</v>
      </c>
      <c r="D98" s="165" t="s">
        <v>692</v>
      </c>
      <c r="E98" s="165" t="s">
        <v>693</v>
      </c>
      <c r="F98" s="165" t="s">
        <v>1228</v>
      </c>
      <c r="G98" s="167">
        <f>3251.3+104.63+2.31126494+9.79457132+2.48209448</f>
        <v>3370.5179307400003</v>
      </c>
      <c r="H98" s="167">
        <v>0</v>
      </c>
      <c r="I98" s="167">
        <f t="shared" si="10"/>
        <v>3370.5179307400003</v>
      </c>
      <c r="J98" s="167">
        <f>1143.91+43.23+131.55+14.87+18.31+11.22+27.36+52.13+21.66+15.76+20.22+19.98+31.7+51.59+30.39+43.76+52.15+99.67+54.72+39.43+74.24+68.48+5.13+77.83+70.05+78+3.59+53.88+59.9+35.04+48.76+28.61+43.31+38.07+45.44+61.77+45.49+67.88+6.6+22.77+21.88+23.91+19.04+9.92+35.91+10.15+17.49+12.29+6.67+49.85+9.01+2.57+9.23+73.82+2.31+23.1+2.08+1.19+3.41+9.3+16.09+9.96+7.24+3.95+7.39+5.06+4.72+11.218+5.04+4.69+4.37+15.27+2.2+4.82+11.41+14.64+6.22+7.69+2.48</f>
        <v>3346.038</v>
      </c>
      <c r="K98" s="167">
        <v>0</v>
      </c>
      <c r="L98" s="167">
        <f t="shared" si="11"/>
        <v>3346.038</v>
      </c>
      <c r="M98" s="127">
        <f t="shared" si="14"/>
        <v>24.479930740000327</v>
      </c>
      <c r="N98" s="167">
        <f t="shared" si="15"/>
        <v>0</v>
      </c>
      <c r="O98" s="167">
        <f t="shared" si="12"/>
        <v>24.479930740000327</v>
      </c>
      <c r="P98" s="184" t="s">
        <v>203</v>
      </c>
      <c r="Q98" s="168"/>
      <c r="R98" s="128">
        <v>1</v>
      </c>
      <c r="S98" s="128">
        <v>1</v>
      </c>
      <c r="T98" s="169">
        <f>132+4</f>
        <v>136</v>
      </c>
      <c r="U98" s="169">
        <f>132+4</f>
        <v>136</v>
      </c>
      <c r="V98" s="169">
        <v>0</v>
      </c>
      <c r="W98" s="169">
        <v>136</v>
      </c>
      <c r="X98" s="169">
        <f t="shared" si="13"/>
        <v>0</v>
      </c>
    </row>
    <row r="99" spans="1:24" ht="16.149999999999999" customHeight="1" x14ac:dyDescent="0.2">
      <c r="A99" s="182" t="s">
        <v>423</v>
      </c>
      <c r="B99" s="177" t="s">
        <v>694</v>
      </c>
      <c r="C99" s="171">
        <v>43425</v>
      </c>
      <c r="D99" s="165" t="s">
        <v>695</v>
      </c>
      <c r="E99" s="165" t="s">
        <v>469</v>
      </c>
      <c r="F99" s="165" t="s">
        <v>1229</v>
      </c>
      <c r="G99" s="167">
        <f>1421.7+55+12.93</f>
        <v>1489.63</v>
      </c>
      <c r="H99" s="167">
        <v>0</v>
      </c>
      <c r="I99" s="167">
        <f t="shared" si="10"/>
        <v>1489.63</v>
      </c>
      <c r="J99" s="167">
        <f>234.83+38.83+40.6+52.9+62.81+165.4+124.07+203.49+114.48+37.52+71.29+60.79+36.78+33.04+52.26+72.27+14.94+2.01+23.43</f>
        <v>1441.74</v>
      </c>
      <c r="K99" s="167">
        <v>0</v>
      </c>
      <c r="L99" s="167">
        <f t="shared" si="11"/>
        <v>1441.74</v>
      </c>
      <c r="M99" s="127">
        <f t="shared" si="14"/>
        <v>47.8900000000001</v>
      </c>
      <c r="N99" s="167">
        <f t="shared" si="15"/>
        <v>0</v>
      </c>
      <c r="O99" s="167">
        <f t="shared" si="12"/>
        <v>47.8900000000001</v>
      </c>
      <c r="P99" s="167">
        <f>234.83+38.83+40.6+52.9+62.81+165.4+124.07+203.49+114.48+37.52+71.29+60.79+36.78+33.04+52.26+72.27-953.12-349.88-98.36+14.94+2.01+23.43</f>
        <v>40.379999999999896</v>
      </c>
      <c r="Q99" s="168"/>
      <c r="R99" s="128">
        <v>0.65</v>
      </c>
      <c r="S99" s="128">
        <v>0.9</v>
      </c>
      <c r="T99" s="169">
        <v>71</v>
      </c>
      <c r="U99" s="169">
        <v>71</v>
      </c>
      <c r="V99" s="169">
        <v>3</v>
      </c>
      <c r="W99" s="169">
        <f>47+17</f>
        <v>64</v>
      </c>
      <c r="X99" s="169">
        <f t="shared" si="13"/>
        <v>7</v>
      </c>
    </row>
    <row r="100" spans="1:24" ht="16.149999999999999" customHeight="1" x14ac:dyDescent="0.2">
      <c r="A100" s="185" t="s">
        <v>696</v>
      </c>
      <c r="B100" s="177" t="s">
        <v>1230</v>
      </c>
      <c r="C100" s="171" t="s">
        <v>1231</v>
      </c>
      <c r="D100" s="165"/>
      <c r="E100" s="165"/>
      <c r="F100" s="165"/>
      <c r="G100" s="167">
        <v>0</v>
      </c>
      <c r="H100" s="167">
        <v>724.75</v>
      </c>
      <c r="I100" s="167">
        <f t="shared" si="10"/>
        <v>724.75</v>
      </c>
      <c r="J100" s="167">
        <v>0</v>
      </c>
      <c r="K100" s="167">
        <f>6.97+3.55+3.25</f>
        <v>13.77</v>
      </c>
      <c r="L100" s="167">
        <f t="shared" si="11"/>
        <v>13.77</v>
      </c>
      <c r="M100" s="127">
        <f t="shared" si="14"/>
        <v>0</v>
      </c>
      <c r="N100" s="167">
        <f t="shared" si="15"/>
        <v>710.98</v>
      </c>
      <c r="O100" s="167">
        <f t="shared" si="12"/>
        <v>710.98</v>
      </c>
      <c r="P100" s="184" t="s">
        <v>203</v>
      </c>
      <c r="Q100" s="168"/>
      <c r="R100" s="128">
        <v>0</v>
      </c>
      <c r="S100" s="128">
        <v>1</v>
      </c>
      <c r="T100" s="169">
        <v>0</v>
      </c>
      <c r="U100" s="169">
        <v>1389</v>
      </c>
      <c r="V100" s="169">
        <v>0</v>
      </c>
      <c r="W100" s="169">
        <v>0</v>
      </c>
      <c r="X100" s="169">
        <f t="shared" si="13"/>
        <v>0</v>
      </c>
    </row>
    <row r="101" spans="1:24" ht="16.149999999999999" customHeight="1" x14ac:dyDescent="0.2">
      <c r="A101" s="186" t="s">
        <v>1232</v>
      </c>
      <c r="B101" s="177" t="s">
        <v>1233</v>
      </c>
      <c r="C101" s="169" t="s">
        <v>1234</v>
      </c>
      <c r="D101" s="165"/>
      <c r="E101" s="165"/>
      <c r="F101" s="165"/>
      <c r="G101" s="167">
        <v>0</v>
      </c>
      <c r="H101" s="167">
        <f>700.76389926-148.58992553</f>
        <v>552.17397373000006</v>
      </c>
      <c r="I101" s="167">
        <f t="shared" si="10"/>
        <v>552.17397373000006</v>
      </c>
      <c r="J101" s="167">
        <v>0</v>
      </c>
      <c r="K101" s="167">
        <v>6.74</v>
      </c>
      <c r="L101" s="167">
        <f t="shared" si="11"/>
        <v>6.74</v>
      </c>
      <c r="M101" s="127">
        <f t="shared" si="14"/>
        <v>0</v>
      </c>
      <c r="N101" s="167">
        <f t="shared" si="15"/>
        <v>545.43397373000005</v>
      </c>
      <c r="O101" s="167">
        <f t="shared" si="12"/>
        <v>545.43397373000005</v>
      </c>
      <c r="P101" s="184" t="s">
        <v>203</v>
      </c>
      <c r="Q101" s="168"/>
      <c r="R101" s="128">
        <v>0</v>
      </c>
      <c r="S101" s="128">
        <v>1</v>
      </c>
      <c r="T101" s="169">
        <v>0</v>
      </c>
      <c r="U101" s="169">
        <v>2732</v>
      </c>
      <c r="V101" s="169">
        <v>0</v>
      </c>
      <c r="W101" s="169">
        <v>0</v>
      </c>
      <c r="X101" s="169">
        <f t="shared" si="13"/>
        <v>0</v>
      </c>
    </row>
    <row r="102" spans="1:24" ht="16.149999999999999" customHeight="1" x14ac:dyDescent="0.2">
      <c r="A102" s="186" t="s">
        <v>424</v>
      </c>
      <c r="B102" s="177">
        <v>42667</v>
      </c>
      <c r="C102" s="171">
        <v>43066</v>
      </c>
      <c r="D102" s="165" t="s">
        <v>470</v>
      </c>
      <c r="E102" s="165" t="s">
        <v>524</v>
      </c>
      <c r="F102" s="165" t="s">
        <v>525</v>
      </c>
      <c r="G102" s="167">
        <f>188.59-2.67</f>
        <v>185.92000000000002</v>
      </c>
      <c r="H102" s="167">
        <v>0</v>
      </c>
      <c r="I102" s="167">
        <f t="shared" si="10"/>
        <v>185.92000000000002</v>
      </c>
      <c r="J102" s="167">
        <f>13.52+8.8+7.91+19.74+19.76+15.2+11.03+13.39+6.56+28.2+16.38+17.34+3.28+4.81</f>
        <v>185.92000000000002</v>
      </c>
      <c r="K102" s="167">
        <v>0</v>
      </c>
      <c r="L102" s="167">
        <f t="shared" si="11"/>
        <v>185.92000000000002</v>
      </c>
      <c r="M102" s="127">
        <f t="shared" si="14"/>
        <v>0</v>
      </c>
      <c r="N102" s="167">
        <f t="shared" si="15"/>
        <v>0</v>
      </c>
      <c r="O102" s="167">
        <f t="shared" si="12"/>
        <v>0</v>
      </c>
      <c r="P102" s="184" t="s">
        <v>203</v>
      </c>
      <c r="Q102" s="168"/>
      <c r="R102" s="128">
        <v>1</v>
      </c>
      <c r="S102" s="128">
        <v>0.73</v>
      </c>
      <c r="T102" s="169">
        <v>11</v>
      </c>
      <c r="U102" s="181">
        <v>11</v>
      </c>
      <c r="V102" s="169">
        <v>0</v>
      </c>
      <c r="W102" s="169">
        <v>11</v>
      </c>
      <c r="X102" s="169">
        <f t="shared" si="13"/>
        <v>0</v>
      </c>
    </row>
    <row r="103" spans="1:24" ht="16.149999999999999" customHeight="1" x14ac:dyDescent="0.2">
      <c r="A103" s="186" t="s">
        <v>425</v>
      </c>
      <c r="B103" s="177" t="s">
        <v>526</v>
      </c>
      <c r="C103" s="171">
        <v>43366</v>
      </c>
      <c r="D103" s="165"/>
      <c r="E103" s="165" t="s">
        <v>527</v>
      </c>
      <c r="F103" s="165" t="s">
        <v>697</v>
      </c>
      <c r="G103" s="167">
        <f>4563.92+24.8+4.08-25.61</f>
        <v>4567.1900000000005</v>
      </c>
      <c r="H103" s="167">
        <v>0</v>
      </c>
      <c r="I103" s="167">
        <f t="shared" si="10"/>
        <v>4567.1900000000005</v>
      </c>
      <c r="J103" s="167">
        <f>1119.42+155.1+5.42+87.16+94+137.7+2.6+133.09+39.1+145.43+111.97+154.87+166.91+305.26+190.42+97.42+109.01+107.15+137.91+233.01+206.5+105.53+136.44+11.28+70.66+62.16+0.84+25.15+178.87+3.29+89.35+2.41+0.75+4.62+23.56+93.71+0.22+4.08+14.82</f>
        <v>4567.1900000000005</v>
      </c>
      <c r="K103" s="167">
        <v>0</v>
      </c>
      <c r="L103" s="167">
        <f t="shared" si="11"/>
        <v>4567.1900000000005</v>
      </c>
      <c r="M103" s="127">
        <f t="shared" si="14"/>
        <v>0</v>
      </c>
      <c r="N103" s="167">
        <f t="shared" si="15"/>
        <v>0</v>
      </c>
      <c r="O103" s="167">
        <f t="shared" si="12"/>
        <v>0</v>
      </c>
      <c r="P103" s="167">
        <f>1119.42+155.1+5.42+87.16+94+137.7+2.6+133.09+39.1+145.43+111.97+154.87+166.91+305.26+190.42+97.42+109.01+107.15+137.91+233.01+206.5+105.53+136.43-1185.68+11.28-112.01+70.66+62.16+0.84-2568.44+25.15+178.87-343.99+89.35+3.29-212.89+2.41+0.75-2.4+4.62+23.56-23.03+93.71+0.22+4.08+14.82-118.74</f>
        <v>-6.9633188104489818E-13</v>
      </c>
      <c r="Q103" s="168"/>
      <c r="R103" s="128">
        <v>0.37</v>
      </c>
      <c r="S103" s="128">
        <v>0.67</v>
      </c>
      <c r="T103" s="169">
        <v>198</v>
      </c>
      <c r="U103" s="181">
        <v>198</v>
      </c>
      <c r="V103" s="169">
        <v>0</v>
      </c>
      <c r="W103" s="169">
        <v>198</v>
      </c>
      <c r="X103" s="169">
        <f t="shared" si="13"/>
        <v>0</v>
      </c>
    </row>
    <row r="104" spans="1:24" ht="16.149999999999999" customHeight="1" x14ac:dyDescent="0.2">
      <c r="A104" s="182" t="s">
        <v>426</v>
      </c>
      <c r="B104" s="177" t="s">
        <v>471</v>
      </c>
      <c r="C104" s="171">
        <v>43234</v>
      </c>
      <c r="D104" s="165"/>
      <c r="E104" s="165" t="s">
        <v>528</v>
      </c>
      <c r="F104" s="165" t="s">
        <v>529</v>
      </c>
      <c r="G104" s="167">
        <f>909.15+224.06+0.08-8.09</f>
        <v>1125.2</v>
      </c>
      <c r="H104" s="167">
        <v>0</v>
      </c>
      <c r="I104" s="167">
        <f t="shared" si="10"/>
        <v>1125.2</v>
      </c>
      <c r="J104" s="167">
        <f>218.11+15.08+17.86+35.96+22.35+43.57+34.16+18.33+15.57+16.37+14.18+3.03+22.26+244.8+23.05+27.75+29.67+14.51+15.15+128.07+50.33+75.79+2.64+9.56+22.49+0.82+3.74</f>
        <v>1125.2</v>
      </c>
      <c r="K104" s="167">
        <v>0</v>
      </c>
      <c r="L104" s="167">
        <f t="shared" si="11"/>
        <v>1125.2</v>
      </c>
      <c r="M104" s="127">
        <f t="shared" si="14"/>
        <v>0</v>
      </c>
      <c r="N104" s="167">
        <f t="shared" si="15"/>
        <v>0</v>
      </c>
      <c r="O104" s="167">
        <f t="shared" si="12"/>
        <v>0</v>
      </c>
      <c r="P104" s="178" t="s">
        <v>203</v>
      </c>
      <c r="Q104" s="168"/>
      <c r="R104" s="128">
        <v>1</v>
      </c>
      <c r="S104" s="128">
        <v>0</v>
      </c>
      <c r="T104" s="169">
        <f>38+8</f>
        <v>46</v>
      </c>
      <c r="U104" s="169">
        <f>38+8</f>
        <v>46</v>
      </c>
      <c r="V104" s="169">
        <v>1</v>
      </c>
      <c r="W104" s="169">
        <v>45</v>
      </c>
      <c r="X104" s="169">
        <f t="shared" si="13"/>
        <v>1</v>
      </c>
    </row>
    <row r="105" spans="1:24" ht="16.149999999999999" customHeight="1" x14ac:dyDescent="0.2">
      <c r="A105" s="182" t="s">
        <v>447</v>
      </c>
      <c r="B105" s="177" t="s">
        <v>530</v>
      </c>
      <c r="C105" s="171">
        <v>43479</v>
      </c>
      <c r="D105" s="165"/>
      <c r="E105" s="165"/>
      <c r="F105" s="165"/>
      <c r="G105" s="167">
        <v>284.86</v>
      </c>
      <c r="H105" s="167">
        <v>0</v>
      </c>
      <c r="I105" s="167">
        <f t="shared" si="10"/>
        <v>284.86</v>
      </c>
      <c r="J105" s="167">
        <f>84.36+35.15+80+16.25+42.0604+6.39+2.69+2.21</f>
        <v>269.11039999999997</v>
      </c>
      <c r="K105" s="167">
        <v>0</v>
      </c>
      <c r="L105" s="167">
        <f t="shared" si="11"/>
        <v>269.11039999999997</v>
      </c>
      <c r="M105" s="127">
        <f t="shared" si="14"/>
        <v>15.749600000000044</v>
      </c>
      <c r="N105" s="167">
        <f t="shared" si="15"/>
        <v>0</v>
      </c>
      <c r="O105" s="167">
        <f t="shared" si="12"/>
        <v>15.749600000000044</v>
      </c>
      <c r="P105" s="167">
        <f>84.36+35.15-119.51+80+16.25-87.57+42.0604+6.39+2.69-38.4+2.21</f>
        <v>23.630399999999995</v>
      </c>
      <c r="Q105" s="168"/>
      <c r="R105" s="128">
        <v>0</v>
      </c>
      <c r="S105" s="128">
        <v>0</v>
      </c>
      <c r="T105" s="169">
        <v>14</v>
      </c>
      <c r="U105" s="169">
        <v>14</v>
      </c>
      <c r="V105" s="169">
        <v>2</v>
      </c>
      <c r="W105" s="169">
        <f>8+4</f>
        <v>12</v>
      </c>
      <c r="X105" s="169">
        <f t="shared" si="13"/>
        <v>2</v>
      </c>
    </row>
    <row r="106" spans="1:24" ht="16.149999999999999" customHeight="1" x14ac:dyDescent="0.2">
      <c r="A106" s="182" t="s">
        <v>698</v>
      </c>
      <c r="B106" s="177">
        <v>42810</v>
      </c>
      <c r="C106" s="171" t="s">
        <v>203</v>
      </c>
      <c r="D106" s="165" t="s">
        <v>203</v>
      </c>
      <c r="E106" s="165" t="s">
        <v>203</v>
      </c>
      <c r="F106" s="165" t="s">
        <v>203</v>
      </c>
      <c r="G106" s="167">
        <v>338.94</v>
      </c>
      <c r="H106" s="167">
        <v>0</v>
      </c>
      <c r="I106" s="167">
        <f t="shared" ref="I106:I137" si="16">G106+H106</f>
        <v>338.94</v>
      </c>
      <c r="J106" s="167">
        <v>338.94</v>
      </c>
      <c r="K106" s="167">
        <v>0</v>
      </c>
      <c r="L106" s="167">
        <f t="shared" si="11"/>
        <v>338.94</v>
      </c>
      <c r="M106" s="127">
        <f t="shared" si="14"/>
        <v>0</v>
      </c>
      <c r="N106" s="167">
        <f t="shared" si="15"/>
        <v>0</v>
      </c>
      <c r="O106" s="167">
        <f>G106-J106</f>
        <v>0</v>
      </c>
      <c r="P106" s="184" t="s">
        <v>203</v>
      </c>
      <c r="Q106" s="168"/>
      <c r="R106" s="128">
        <v>1</v>
      </c>
      <c r="S106" s="128">
        <v>1</v>
      </c>
      <c r="T106" s="174">
        <v>21</v>
      </c>
      <c r="U106" s="174">
        <v>21</v>
      </c>
      <c r="V106" s="174">
        <v>0</v>
      </c>
      <c r="W106" s="174">
        <v>21</v>
      </c>
      <c r="X106" s="169">
        <f t="shared" si="13"/>
        <v>0</v>
      </c>
    </row>
    <row r="107" spans="1:24" ht="16.149999999999999" customHeight="1" x14ac:dyDescent="0.2">
      <c r="A107" s="186" t="s">
        <v>472</v>
      </c>
      <c r="B107" s="177" t="s">
        <v>699</v>
      </c>
      <c r="C107" s="171">
        <v>43537</v>
      </c>
      <c r="D107" s="165" t="s">
        <v>531</v>
      </c>
      <c r="E107" s="165" t="s">
        <v>700</v>
      </c>
      <c r="F107" s="165" t="s">
        <v>1235</v>
      </c>
      <c r="G107" s="167">
        <f>2125.2+28.1+0.27+71.77-43.09</f>
        <v>2182.2499999999995</v>
      </c>
      <c r="H107" s="167">
        <v>0</v>
      </c>
      <c r="I107" s="167">
        <f t="shared" si="16"/>
        <v>2182.2499999999995</v>
      </c>
      <c r="J107" s="167">
        <f>76.3+16.12+29.52+22.34+3.59+27.88+39.06+19.96+5.96+34.65+37.51+53.09+29.78+98.27+55.35+48.07+18.08+107.85+110.13+134.15+153.39+1.3+193.33+121.36+78.49+46.48+38.65+96.24+34+57.36+46.73+10.51+83.08+18.79+76.85+132.77+24.12+1.14</f>
        <v>2182.2499999999995</v>
      </c>
      <c r="K107" s="167">
        <v>0</v>
      </c>
      <c r="L107" s="167">
        <f t="shared" si="11"/>
        <v>2182.2499999999995</v>
      </c>
      <c r="M107" s="127">
        <f t="shared" si="14"/>
        <v>0</v>
      </c>
      <c r="N107" s="167">
        <f t="shared" si="15"/>
        <v>0</v>
      </c>
      <c r="O107" s="167">
        <f>M107+N107</f>
        <v>0</v>
      </c>
      <c r="P107" s="167">
        <f>76.3+16.12+29.52+22.34+3.59+27.88+39.06+19.96+5.96+34.65+37.51+53.09+29.78+98.27+55.35+48.07+18.08+107.85+110.13+134.15+153.39+1.3+193.33+121.36+78.49+46.48+38.65+96.24+34+57.36+46.73+10.51+83.08-1928.58+18.79-18.79+76.85+132.77+24.12+1.14-234.88</f>
        <v>0</v>
      </c>
      <c r="Q107" s="168"/>
      <c r="R107" s="128">
        <v>0.99029999999999996</v>
      </c>
      <c r="S107" s="128">
        <v>1</v>
      </c>
      <c r="T107" s="169">
        <v>98</v>
      </c>
      <c r="U107" s="181">
        <v>98</v>
      </c>
      <c r="V107" s="169">
        <v>0</v>
      </c>
      <c r="W107" s="169">
        <v>98</v>
      </c>
      <c r="X107" s="169">
        <f t="shared" si="13"/>
        <v>0</v>
      </c>
    </row>
    <row r="108" spans="1:24" ht="16.149999999999999" customHeight="1" x14ac:dyDescent="0.2">
      <c r="A108" s="186" t="s">
        <v>701</v>
      </c>
      <c r="B108" s="177">
        <v>42877</v>
      </c>
      <c r="C108" s="171" t="s">
        <v>203</v>
      </c>
      <c r="D108" s="165" t="s">
        <v>203</v>
      </c>
      <c r="E108" s="165" t="s">
        <v>203</v>
      </c>
      <c r="F108" s="165" t="s">
        <v>203</v>
      </c>
      <c r="G108" s="167">
        <v>548.47</v>
      </c>
      <c r="H108" s="167">
        <v>0</v>
      </c>
      <c r="I108" s="167">
        <f t="shared" si="16"/>
        <v>548.47</v>
      </c>
      <c r="J108" s="167">
        <f>494.34+54.13</f>
        <v>548.47</v>
      </c>
      <c r="K108" s="167">
        <v>0</v>
      </c>
      <c r="L108" s="167">
        <f t="shared" si="11"/>
        <v>548.47</v>
      </c>
      <c r="M108" s="127">
        <f t="shared" si="14"/>
        <v>0</v>
      </c>
      <c r="N108" s="167">
        <f t="shared" si="15"/>
        <v>0</v>
      </c>
      <c r="O108" s="167">
        <f>G108-J108</f>
        <v>0</v>
      </c>
      <c r="P108" s="184" t="s">
        <v>203</v>
      </c>
      <c r="Q108" s="168"/>
      <c r="R108" s="128">
        <v>1</v>
      </c>
      <c r="S108" s="128">
        <v>1</v>
      </c>
      <c r="T108" s="174">
        <v>20</v>
      </c>
      <c r="U108" s="174">
        <v>20</v>
      </c>
      <c r="V108" s="174">
        <v>0</v>
      </c>
      <c r="W108" s="174">
        <v>20</v>
      </c>
      <c r="X108" s="169">
        <f t="shared" si="13"/>
        <v>0</v>
      </c>
    </row>
    <row r="109" spans="1:24" ht="16.149999999999999" customHeight="1" x14ac:dyDescent="0.2">
      <c r="A109" s="186" t="s">
        <v>473</v>
      </c>
      <c r="B109" s="177" t="s">
        <v>1236</v>
      </c>
      <c r="C109" s="171">
        <v>44227</v>
      </c>
      <c r="D109" s="165"/>
      <c r="E109" s="165"/>
      <c r="F109" s="165" t="s">
        <v>1237</v>
      </c>
      <c r="G109" s="167">
        <f>5013.04+2.48+5.49</f>
        <v>5021.0099999999993</v>
      </c>
      <c r="H109" s="167">
        <v>0</v>
      </c>
      <c r="I109" s="167">
        <f t="shared" si="16"/>
        <v>5021.0099999999993</v>
      </c>
      <c r="J109" s="167">
        <f>612.68+6.25+276.13+96+130.61+99.66+169.3+115.51+67.87+60.24+178.15+180.4+102.51+116.98+229.34+124.58+308.75+162.17+131.9+219.51+7.99+197.01+157.29+67.34+90.73+33.14+56.54+120.25+22.25+95.45+12.04+49.1+116.43+108.29+100.05+47+17.57+13.34+5.56+67.86+33.82+10.27+16.7+2.47+5.49+5+5.09+16.93</f>
        <v>4869.5400000000018</v>
      </c>
      <c r="K109" s="167">
        <v>0</v>
      </c>
      <c r="L109" s="167">
        <f t="shared" si="11"/>
        <v>4869.5400000000018</v>
      </c>
      <c r="M109" s="127">
        <f t="shared" si="14"/>
        <v>151.46999999999753</v>
      </c>
      <c r="N109" s="167">
        <f t="shared" si="15"/>
        <v>0</v>
      </c>
      <c r="O109" s="167">
        <f t="shared" ref="O109:O138" si="17">M109+N109</f>
        <v>151.46999999999753</v>
      </c>
      <c r="P109" s="178">
        <f>612.68+6.25+276.13+96+130.61+99.67+169.3+115.51+67.87+60.24+178.15+180.4+102.51+116.98+229.34+124.58+308.75+162.17+131.9+219.51+7.99+197.01+157.29+67.34+90.73+33.14+56.54+120.25+22.25+95.45+12.04+49.1+116.43+108.29+100.05+47+17.57+13.34+5.56+67.86+33.81+10.27+16.7+2.47+5.49+5+5.09+16.93</f>
        <v>4869.5400000000018</v>
      </c>
      <c r="Q109" s="168"/>
      <c r="R109" s="128">
        <v>0.89739999999999998</v>
      </c>
      <c r="S109" s="128">
        <v>1</v>
      </c>
      <c r="T109" s="174">
        <v>235</v>
      </c>
      <c r="U109" s="174">
        <v>235</v>
      </c>
      <c r="V109" s="174">
        <v>0</v>
      </c>
      <c r="W109" s="174">
        <v>0</v>
      </c>
      <c r="X109" s="174">
        <f>T109-W109</f>
        <v>235</v>
      </c>
    </row>
    <row r="110" spans="1:24" ht="16.149999999999999" customHeight="1" x14ac:dyDescent="0.2">
      <c r="A110" s="186" t="s">
        <v>702</v>
      </c>
      <c r="B110" s="177">
        <v>43080</v>
      </c>
      <c r="C110" s="171"/>
      <c r="D110" s="165"/>
      <c r="E110" s="165"/>
      <c r="F110" s="165"/>
      <c r="G110" s="167">
        <v>774.62</v>
      </c>
      <c r="H110" s="167">
        <v>0</v>
      </c>
      <c r="I110" s="167">
        <f t="shared" si="16"/>
        <v>774.62</v>
      </c>
      <c r="J110" s="167">
        <v>774.64</v>
      </c>
      <c r="K110" s="167">
        <v>0</v>
      </c>
      <c r="L110" s="167">
        <f t="shared" si="11"/>
        <v>774.64</v>
      </c>
      <c r="M110" s="127">
        <f t="shared" si="14"/>
        <v>-1.999999999998181E-2</v>
      </c>
      <c r="N110" s="167">
        <f t="shared" si="15"/>
        <v>0</v>
      </c>
      <c r="O110" s="167">
        <f t="shared" si="17"/>
        <v>-1.999999999998181E-2</v>
      </c>
      <c r="P110" s="178" t="s">
        <v>203</v>
      </c>
      <c r="Q110" s="168"/>
      <c r="R110" s="128">
        <v>1</v>
      </c>
      <c r="S110" s="128">
        <v>1</v>
      </c>
      <c r="T110" s="174">
        <v>45</v>
      </c>
      <c r="U110" s="174">
        <v>45</v>
      </c>
      <c r="V110" s="174">
        <v>45</v>
      </c>
      <c r="W110" s="174">
        <v>45</v>
      </c>
      <c r="X110" s="169">
        <f t="shared" si="13"/>
        <v>0</v>
      </c>
    </row>
    <row r="111" spans="1:24" ht="16.149999999999999" customHeight="1" x14ac:dyDescent="0.2">
      <c r="A111" s="182" t="s">
        <v>474</v>
      </c>
      <c r="B111" s="177" t="s">
        <v>475</v>
      </c>
      <c r="C111" s="171">
        <v>43898</v>
      </c>
      <c r="D111" s="165" t="s">
        <v>1238</v>
      </c>
      <c r="E111" s="165"/>
      <c r="F111" s="165" t="s">
        <v>1239</v>
      </c>
      <c r="G111" s="167">
        <f>6177.49+167.69+7.65</f>
        <v>6352.829999999999</v>
      </c>
      <c r="H111" s="167">
        <v>0</v>
      </c>
      <c r="I111" s="167">
        <f t="shared" si="16"/>
        <v>6352.829999999999</v>
      </c>
      <c r="J111" s="167">
        <f>1678.74+1515.68+20.81+52.54+50.85+81.3+94.16+287.17+235.72+26.66+132.91+43.59+80.13+33.9+110.34+64.22+57.42+100.02+32.41+68.34+66.33+29.28+22.16+30.36+53.78+21.08+14.72+153.2+61.92+120+65.43+3.14+17.07+4.65+3.33+40.81+81.91+18.46+3.77+11.51+19.29+40.8+19.9+6.22+17.68+8.74+2.1+8.01+8.14+76.17+77.23+42.94+51.43+66.93+18.97+6.07+86.06+16.32+6.08+28.42+36.14+11.05+21.43+34.65+13.12</f>
        <v>6313.7100000000019</v>
      </c>
      <c r="K111" s="167">
        <v>0</v>
      </c>
      <c r="L111" s="167">
        <f t="shared" si="11"/>
        <v>6313.7100000000019</v>
      </c>
      <c r="M111" s="127">
        <f t="shared" si="14"/>
        <v>39.119999999997162</v>
      </c>
      <c r="N111" s="167">
        <f t="shared" si="15"/>
        <v>0</v>
      </c>
      <c r="O111" s="167">
        <f t="shared" si="17"/>
        <v>39.119999999997162</v>
      </c>
      <c r="P111" s="178" t="s">
        <v>203</v>
      </c>
      <c r="Q111" s="168"/>
      <c r="R111" s="128">
        <v>1</v>
      </c>
      <c r="S111" s="128">
        <v>0.97860000000000003</v>
      </c>
      <c r="T111" s="169">
        <f>255+7</f>
        <v>262</v>
      </c>
      <c r="U111" s="169">
        <f>255+7</f>
        <v>262</v>
      </c>
      <c r="V111" s="169">
        <v>0</v>
      </c>
      <c r="W111" s="169">
        <v>262</v>
      </c>
      <c r="X111" s="169">
        <f t="shared" si="13"/>
        <v>0</v>
      </c>
    </row>
    <row r="112" spans="1:24" ht="16.149999999999999" customHeight="1" x14ac:dyDescent="0.2">
      <c r="A112" s="182" t="s">
        <v>476</v>
      </c>
      <c r="B112" s="177" t="s">
        <v>1240</v>
      </c>
      <c r="C112" s="171">
        <v>43951</v>
      </c>
      <c r="D112" s="165" t="s">
        <v>703</v>
      </c>
      <c r="E112" s="165" t="s">
        <v>1241</v>
      </c>
      <c r="F112" s="165" t="s">
        <v>1242</v>
      </c>
      <c r="G112" s="167">
        <f>2972.57+50.98+28.34+15.26+10.16+20.66+9.22+3.53+6.103396</f>
        <v>3116.8233960000002</v>
      </c>
      <c r="H112" s="167">
        <v>0</v>
      </c>
      <c r="I112" s="167">
        <f t="shared" si="16"/>
        <v>3116.8233960000002</v>
      </c>
      <c r="J112" s="167">
        <f>88.59+6.75+116.92+37.62+40.98+15.99+17.15+37.52+17.58+51.91+21.9+46.5+14.34+41.77+30.25+51.75+9.87+55.97+38.54+42.75+22.15+30.43+46.23+78.43+53.84+64.64+28.89+106.94+89.34+30.79+38.42+23.91+14.62+46.38+58.01+23.51+60.81+50.81+46.25+102.86+86.59+50.87+38.18+56.77+35.57+71.01+39.67+70.54+10.65+15.95+29.92+24.17+53.43+27.13+48.44+23.56+16.95+92.91+44.38+33.81+30.24+61.88+14.63+7.75+19.55+2.83+3.93+29.62+3.1+9.66+4.46+12.7+8.47+3.38+5.66+1.33+5.08+3.36</f>
        <v>2900.0399999999991</v>
      </c>
      <c r="K112" s="167">
        <v>0</v>
      </c>
      <c r="L112" s="167">
        <f t="shared" si="11"/>
        <v>2900.0399999999991</v>
      </c>
      <c r="M112" s="127">
        <f t="shared" si="14"/>
        <v>216.78339600000118</v>
      </c>
      <c r="N112" s="167">
        <f t="shared" si="15"/>
        <v>0</v>
      </c>
      <c r="O112" s="167">
        <f t="shared" si="17"/>
        <v>216.78339600000118</v>
      </c>
      <c r="P112" s="178">
        <f>88.59+6.75+116.92+37.62+40.98+15.99+17.15+37.52+17.58+51.91+21.9+46.5+14.34+41.77+30.25+51.75+9.87+55.97+38.54+42.75+22.15+30.43+46.23+78.43+53.84+64.64+28.89+106.94+89.34+30.79+38.42+23.91+14.62+46.38+58.01+23.51+60.81+50.81+46.25+102.86+86.59+50.87+38.18+56.77+35.57+71.01+39.67+70.54+10.65+15.95+29.92+24.17+53.44+27.13+48.43+23.56+16.95+92.91+44.38+33.81+30.24+61.88+14.63+7.75+19.55+2.83+3.93+29.62+3.1+9.66+4.46+12.7+8.47+3.38+5.66+1.33+5.08+3.36</f>
        <v>2900.0399999999991</v>
      </c>
      <c r="Q112" s="168"/>
      <c r="R112" s="128">
        <v>0.97950000000000004</v>
      </c>
      <c r="S112" s="128">
        <v>0.98</v>
      </c>
      <c r="T112" s="169">
        <v>148</v>
      </c>
      <c r="U112" s="169">
        <v>148</v>
      </c>
      <c r="V112" s="169">
        <v>0</v>
      </c>
      <c r="W112" s="169">
        <v>0</v>
      </c>
      <c r="X112" s="169">
        <f t="shared" si="13"/>
        <v>148</v>
      </c>
    </row>
    <row r="113" spans="1:24" ht="16.149999999999999" customHeight="1" x14ac:dyDescent="0.2">
      <c r="A113" s="182" t="s">
        <v>477</v>
      </c>
      <c r="B113" s="177" t="s">
        <v>1243</v>
      </c>
      <c r="C113" s="171">
        <v>44055</v>
      </c>
      <c r="D113" s="165"/>
      <c r="E113" s="165"/>
      <c r="F113" s="165" t="s">
        <v>1244</v>
      </c>
      <c r="G113" s="167">
        <f>5836.33+80.47</f>
        <v>5916.8</v>
      </c>
      <c r="H113" s="167">
        <v>0</v>
      </c>
      <c r="I113" s="167">
        <f t="shared" si="16"/>
        <v>5916.8</v>
      </c>
      <c r="J113" s="167">
        <f>1121.7+9.4+78.61+245.74+63.16+2.01+95.19+151.1+117+206.01+164.63+161.74+136.74+183.71+287.65+178.14+157.38+134+174.36+150.85+150.89+128.45+129.88+144.23+66.38+95.4+100.78+48.3+42.58+26.62+21.82+13.17+33.96+64.14+34.92+40.77+50.29+29.27+50.29+41.42+22.94+25.79+35.42+28.04+10.68+5.12+37.59+218.11+2.59+27.46+6.75+19.9+1</f>
        <v>5574.07</v>
      </c>
      <c r="K113" s="167">
        <v>0</v>
      </c>
      <c r="L113" s="167">
        <f t="shared" si="11"/>
        <v>5574.07</v>
      </c>
      <c r="M113" s="127">
        <f t="shared" si="14"/>
        <v>342.73000000000047</v>
      </c>
      <c r="N113" s="167">
        <f t="shared" si="15"/>
        <v>0</v>
      </c>
      <c r="O113" s="167">
        <f t="shared" si="17"/>
        <v>342.73000000000047</v>
      </c>
      <c r="P113" s="178">
        <f>1121.7+9.4+78.61+245.74+63.16+2.01+95.19+151.1+117+206.01+164.63+161.74+136.74+183.71+287.65+178.14+157.38+134+174.36+150.85+150.89+128.45+129.88+144.23+66.38+95.4+100.78+48.3+42.58+26.62+21.82+13.17+33.96+64.14+34.92+40.77+50.29+29.27+50.29+41.42+22.94+25.79+35.42+28.04+10.68+5.12+37.59+218.11+2.59+27.46+6.75+19.9+1</f>
        <v>5574.07</v>
      </c>
      <c r="Q113" s="168"/>
      <c r="R113" s="128">
        <v>0.88829999999999998</v>
      </c>
      <c r="S113" s="128">
        <v>1</v>
      </c>
      <c r="T113" s="169">
        <v>241</v>
      </c>
      <c r="U113" s="169">
        <v>241</v>
      </c>
      <c r="V113" s="169">
        <v>0</v>
      </c>
      <c r="W113" s="169">
        <v>0</v>
      </c>
      <c r="X113" s="169">
        <f t="shared" si="13"/>
        <v>241</v>
      </c>
    </row>
    <row r="114" spans="1:24" ht="16.149999999999999" customHeight="1" x14ac:dyDescent="0.2">
      <c r="A114" s="182" t="s">
        <v>478</v>
      </c>
      <c r="B114" s="177" t="s">
        <v>1245</v>
      </c>
      <c r="C114" s="171">
        <v>44225</v>
      </c>
      <c r="D114" s="165"/>
      <c r="E114" s="165"/>
      <c r="F114" s="165" t="s">
        <v>1246</v>
      </c>
      <c r="G114" s="167">
        <f>2565.53+37.98</f>
        <v>2603.5100000000002</v>
      </c>
      <c r="H114" s="167">
        <v>0</v>
      </c>
      <c r="I114" s="167">
        <f t="shared" si="16"/>
        <v>2603.5100000000002</v>
      </c>
      <c r="J114" s="167">
        <f>561.84+143.6+30.02+123.48+74.58+60.55+35.94+35.75+111.01+59.07+43.08+38.3+35.63+21.45+39.32+41.49+33.88+35.11+30.27+31.08+30.87+21.37+21.1+35.66+24.24+18.2+13.92+26.22+34.59+27.66+28.82+37.12+31.72+71.59+51.27+24.48+28.61+29.7+25.28+17.1+20.42+23.84+30.08+19.36+20.58+39.7+84.21+10.9+14.63+3.32+2.86+9.05+4.22</f>
        <v>2468.1400000000003</v>
      </c>
      <c r="K114" s="167">
        <v>0</v>
      </c>
      <c r="L114" s="167">
        <f t="shared" si="11"/>
        <v>2468.1400000000003</v>
      </c>
      <c r="M114" s="127">
        <f t="shared" ref="M114:M138" si="18">G114-J114</f>
        <v>135.36999999999989</v>
      </c>
      <c r="N114" s="167">
        <f t="shared" si="15"/>
        <v>0</v>
      </c>
      <c r="O114" s="167">
        <f t="shared" si="17"/>
        <v>135.36999999999989</v>
      </c>
      <c r="P114" s="178">
        <f>561.84+143.6+30.02+123.48+74.58+60.55+35.94+35.75+111.01+59.07+43.08+38.3+35.63+21.45+39.32+41.49+33.88+35.11+30.27+31.08+30.87+21.37+21.1+35.66+24.24+18.2+13.92+26.22+34.59+27.66+28.82+37.12+31.72+71.59+51.27+24.48+28.61+29.7+25.28+17.1+20.42+23.84+30.08+19.36+20.58+39.7+84.21+10.9+14.63+3.32+2.86+9.05+4.22</f>
        <v>2468.1400000000003</v>
      </c>
      <c r="Q114" s="168"/>
      <c r="R114" s="128">
        <v>0.90429999999999999</v>
      </c>
      <c r="S114" s="128">
        <v>0.9829</v>
      </c>
      <c r="T114" s="169">
        <v>102</v>
      </c>
      <c r="U114" s="169">
        <v>102</v>
      </c>
      <c r="V114" s="169">
        <v>0</v>
      </c>
      <c r="W114" s="169">
        <v>0</v>
      </c>
      <c r="X114" s="169">
        <f t="shared" si="13"/>
        <v>102</v>
      </c>
    </row>
    <row r="115" spans="1:24" ht="16.149999999999999" customHeight="1" x14ac:dyDescent="0.2">
      <c r="A115" s="186" t="s">
        <v>704</v>
      </c>
      <c r="B115" s="177">
        <v>43223</v>
      </c>
      <c r="C115" s="171"/>
      <c r="D115" s="165"/>
      <c r="E115" s="165"/>
      <c r="F115" s="165"/>
      <c r="G115" s="167">
        <f>352.64-0.01</f>
        <v>352.63</v>
      </c>
      <c r="H115" s="167">
        <v>0</v>
      </c>
      <c r="I115" s="167">
        <f t="shared" si="16"/>
        <v>352.63</v>
      </c>
      <c r="J115" s="167">
        <f>297.38+19.52+19.54+16.19</f>
        <v>352.63</v>
      </c>
      <c r="K115" s="167">
        <v>0</v>
      </c>
      <c r="L115" s="167">
        <f t="shared" si="11"/>
        <v>352.63</v>
      </c>
      <c r="M115" s="127">
        <f t="shared" si="18"/>
        <v>0</v>
      </c>
      <c r="N115" s="167">
        <f t="shared" si="15"/>
        <v>0</v>
      </c>
      <c r="O115" s="167">
        <f t="shared" si="17"/>
        <v>0</v>
      </c>
      <c r="P115" s="178" t="s">
        <v>203</v>
      </c>
      <c r="Q115" s="168"/>
      <c r="R115" s="128">
        <v>1</v>
      </c>
      <c r="S115" s="128">
        <v>1</v>
      </c>
      <c r="T115" s="174">
        <v>21</v>
      </c>
      <c r="U115" s="174">
        <v>21</v>
      </c>
      <c r="V115" s="174">
        <v>0</v>
      </c>
      <c r="W115" s="174">
        <v>21</v>
      </c>
      <c r="X115" s="169">
        <f t="shared" si="13"/>
        <v>0</v>
      </c>
    </row>
    <row r="116" spans="1:24" ht="16.149999999999999" customHeight="1" x14ac:dyDescent="0.2">
      <c r="A116" s="186" t="s">
        <v>705</v>
      </c>
      <c r="B116" s="177" t="s">
        <v>706</v>
      </c>
      <c r="C116" s="171"/>
      <c r="D116" s="165"/>
      <c r="E116" s="165"/>
      <c r="F116" s="165"/>
      <c r="G116" s="167">
        <f>1011.14+55.01+869.46+81.12</f>
        <v>2016.73</v>
      </c>
      <c r="H116" s="167">
        <v>0</v>
      </c>
      <c r="I116" s="167">
        <f t="shared" si="16"/>
        <v>2016.73</v>
      </c>
      <c r="J116" s="167">
        <f>10.11+990.92+54.46+860.76+80.31</f>
        <v>1996.56</v>
      </c>
      <c r="K116" s="167">
        <v>0</v>
      </c>
      <c r="L116" s="167">
        <f t="shared" si="11"/>
        <v>1996.56</v>
      </c>
      <c r="M116" s="127">
        <f t="shared" si="18"/>
        <v>20.170000000000073</v>
      </c>
      <c r="N116" s="167">
        <f t="shared" si="15"/>
        <v>0</v>
      </c>
      <c r="O116" s="167">
        <f t="shared" si="17"/>
        <v>20.170000000000073</v>
      </c>
      <c r="P116" s="178" t="s">
        <v>203</v>
      </c>
      <c r="Q116" s="168"/>
      <c r="R116" s="128">
        <v>1</v>
      </c>
      <c r="S116" s="128">
        <v>1</v>
      </c>
      <c r="T116" s="174">
        <f>52+3+44+4</f>
        <v>103</v>
      </c>
      <c r="U116" s="174">
        <f>52+3+44+4</f>
        <v>103</v>
      </c>
      <c r="V116" s="174">
        <v>4</v>
      </c>
      <c r="W116" s="174">
        <v>99</v>
      </c>
      <c r="X116" s="169">
        <f t="shared" si="13"/>
        <v>4</v>
      </c>
    </row>
    <row r="117" spans="1:24" ht="16.149999999999999" customHeight="1" x14ac:dyDescent="0.2">
      <c r="A117" s="186" t="s">
        <v>707</v>
      </c>
      <c r="B117" s="177">
        <v>43318</v>
      </c>
      <c r="C117" s="171"/>
      <c r="D117" s="165"/>
      <c r="E117" s="165"/>
      <c r="F117" s="165"/>
      <c r="G117" s="167">
        <f>1887.86898229+0.05557054</f>
        <v>1887.92455283</v>
      </c>
      <c r="H117" s="167">
        <v>0</v>
      </c>
      <c r="I117" s="167">
        <f t="shared" si="16"/>
        <v>1887.92455283</v>
      </c>
      <c r="J117" s="167">
        <f>548.23715821+1218.00437049+30.31079846+30.43859728+30.31079846+30.6200363+0.00279362999981458</f>
        <v>1887.92455283</v>
      </c>
      <c r="K117" s="167">
        <v>0</v>
      </c>
      <c r="L117" s="167">
        <f t="shared" si="11"/>
        <v>1887.92455283</v>
      </c>
      <c r="M117" s="127">
        <f t="shared" si="18"/>
        <v>0</v>
      </c>
      <c r="N117" s="167">
        <f t="shared" si="15"/>
        <v>0</v>
      </c>
      <c r="O117" s="167">
        <f t="shared" si="17"/>
        <v>0</v>
      </c>
      <c r="P117" s="178" t="s">
        <v>203</v>
      </c>
      <c r="Q117" s="168"/>
      <c r="R117" s="128">
        <v>1</v>
      </c>
      <c r="S117" s="128">
        <v>1</v>
      </c>
      <c r="T117" s="174">
        <v>62</v>
      </c>
      <c r="U117" s="174">
        <v>62</v>
      </c>
      <c r="V117" s="174">
        <v>0</v>
      </c>
      <c r="W117" s="174">
        <v>62</v>
      </c>
      <c r="X117" s="169">
        <v>0</v>
      </c>
    </row>
    <row r="118" spans="1:24" ht="16.149999999999999" customHeight="1" x14ac:dyDescent="0.2">
      <c r="A118" s="173" t="s">
        <v>532</v>
      </c>
      <c r="B118" s="177">
        <v>43325</v>
      </c>
      <c r="C118" s="171">
        <v>43924</v>
      </c>
      <c r="D118" s="165"/>
      <c r="E118" s="165" t="s">
        <v>708</v>
      </c>
      <c r="F118" s="165" t="s">
        <v>1247</v>
      </c>
      <c r="G118" s="167">
        <f>1099.36-4.18</f>
        <v>1095.1799999999998</v>
      </c>
      <c r="H118" s="167">
        <v>0</v>
      </c>
      <c r="I118" s="167">
        <f t="shared" si="16"/>
        <v>1095.1799999999998</v>
      </c>
      <c r="J118" s="167">
        <f>445.85+13.76+155.04+144.52+34.72+108.06+25.08+61.96+18.47+14.65+0.82+23.31+17.04+5.53+5.83+20.39+0.15</f>
        <v>1095.1800000000003</v>
      </c>
      <c r="K118" s="167">
        <v>0</v>
      </c>
      <c r="L118" s="167">
        <f t="shared" si="11"/>
        <v>1095.1800000000003</v>
      </c>
      <c r="M118" s="127">
        <f t="shared" si="18"/>
        <v>0</v>
      </c>
      <c r="N118" s="167">
        <f t="shared" si="15"/>
        <v>0</v>
      </c>
      <c r="O118" s="167">
        <f t="shared" si="17"/>
        <v>0</v>
      </c>
      <c r="P118" s="184" t="s">
        <v>203</v>
      </c>
      <c r="Q118" s="187"/>
      <c r="R118" s="128">
        <v>1</v>
      </c>
      <c r="S118" s="128">
        <v>0.98519999999999996</v>
      </c>
      <c r="T118" s="174">
        <v>63</v>
      </c>
      <c r="U118" s="174">
        <v>63</v>
      </c>
      <c r="V118" s="174">
        <v>0</v>
      </c>
      <c r="W118" s="169">
        <v>63</v>
      </c>
      <c r="X118" s="174">
        <f>+T118-W118</f>
        <v>0</v>
      </c>
    </row>
    <row r="119" spans="1:24" ht="16.149999999999999" customHeight="1" x14ac:dyDescent="0.2">
      <c r="A119" s="182" t="s">
        <v>1248</v>
      </c>
      <c r="B119" s="177">
        <v>43346</v>
      </c>
      <c r="C119" s="171">
        <v>43557</v>
      </c>
      <c r="D119" s="165"/>
      <c r="E119" s="165"/>
      <c r="F119" s="165"/>
      <c r="G119" s="167">
        <v>216.81</v>
      </c>
      <c r="H119" s="167">
        <v>0</v>
      </c>
      <c r="I119" s="167">
        <f t="shared" si="16"/>
        <v>216.81</v>
      </c>
      <c r="J119" s="167">
        <f>95.03+63.41+49.4+5.77+0.24+1.85</f>
        <v>215.70000000000002</v>
      </c>
      <c r="K119" s="167">
        <v>0</v>
      </c>
      <c r="L119" s="167">
        <f t="shared" si="11"/>
        <v>215.70000000000002</v>
      </c>
      <c r="M119" s="127">
        <f t="shared" si="18"/>
        <v>1.1099999999999852</v>
      </c>
      <c r="N119" s="167">
        <f t="shared" si="15"/>
        <v>0</v>
      </c>
      <c r="O119" s="167">
        <f t="shared" si="17"/>
        <v>1.1099999999999852</v>
      </c>
      <c r="P119" s="178">
        <v>0</v>
      </c>
      <c r="Q119" s="168"/>
      <c r="R119" s="128">
        <v>1</v>
      </c>
      <c r="S119" s="128">
        <v>0</v>
      </c>
      <c r="T119" s="169">
        <v>9</v>
      </c>
      <c r="U119" s="169">
        <v>9</v>
      </c>
      <c r="V119" s="169">
        <v>0</v>
      </c>
      <c r="W119" s="169">
        <v>9</v>
      </c>
      <c r="X119" s="169">
        <f>T119-W119</f>
        <v>0</v>
      </c>
    </row>
    <row r="120" spans="1:24" ht="16.149999999999999" customHeight="1" x14ac:dyDescent="0.2">
      <c r="A120" s="182" t="s">
        <v>533</v>
      </c>
      <c r="B120" s="177" t="s">
        <v>534</v>
      </c>
      <c r="C120" s="171"/>
      <c r="D120" s="165"/>
      <c r="E120" s="165"/>
      <c r="F120" s="165"/>
      <c r="G120" s="167">
        <v>185.11</v>
      </c>
      <c r="H120" s="167">
        <v>0</v>
      </c>
      <c r="I120" s="167">
        <f t="shared" si="16"/>
        <v>185.11</v>
      </c>
      <c r="J120" s="167">
        <f>75.89+73.03+17.48+18.71</f>
        <v>185.11</v>
      </c>
      <c r="K120" s="167">
        <v>0</v>
      </c>
      <c r="L120" s="167">
        <f t="shared" si="11"/>
        <v>185.11</v>
      </c>
      <c r="M120" s="127">
        <f t="shared" si="18"/>
        <v>0</v>
      </c>
      <c r="N120" s="167">
        <f t="shared" ref="N120:N138" si="19">H120-K120</f>
        <v>0</v>
      </c>
      <c r="O120" s="167">
        <f t="shared" si="17"/>
        <v>0</v>
      </c>
      <c r="P120" s="178">
        <v>0</v>
      </c>
      <c r="Q120" s="168"/>
      <c r="R120" s="128">
        <v>1</v>
      </c>
      <c r="S120" s="128">
        <v>0</v>
      </c>
      <c r="T120" s="169">
        <v>10</v>
      </c>
      <c r="U120" s="169">
        <v>10</v>
      </c>
      <c r="V120" s="169">
        <v>0</v>
      </c>
      <c r="W120" s="169">
        <v>10</v>
      </c>
      <c r="X120" s="169">
        <f>T120-W120</f>
        <v>0</v>
      </c>
    </row>
    <row r="121" spans="1:24" ht="16.149999999999999" customHeight="1" x14ac:dyDescent="0.2">
      <c r="A121" s="173" t="s">
        <v>535</v>
      </c>
      <c r="B121" s="177">
        <v>43454</v>
      </c>
      <c r="C121" s="171" t="s">
        <v>709</v>
      </c>
      <c r="D121" s="165"/>
      <c r="E121" s="165" t="s">
        <v>710</v>
      </c>
      <c r="F121" s="165" t="s">
        <v>1249</v>
      </c>
      <c r="G121" s="167">
        <v>1046.95</v>
      </c>
      <c r="H121" s="167">
        <v>0</v>
      </c>
      <c r="I121" s="167">
        <f t="shared" si="16"/>
        <v>1046.95</v>
      </c>
      <c r="J121" s="167">
        <f>292.22+58.04+59.16+26.18+133.39+13.12+215.27+13.2+7.12+24.52+35.68+24.01+18.47+18.47+13.11+9.21-11.51+4.31+5.07</f>
        <v>959.04000000000008</v>
      </c>
      <c r="K121" s="167">
        <v>0</v>
      </c>
      <c r="L121" s="167">
        <f t="shared" si="11"/>
        <v>959.04000000000008</v>
      </c>
      <c r="M121" s="127">
        <f t="shared" si="18"/>
        <v>87.909999999999968</v>
      </c>
      <c r="N121" s="167">
        <f t="shared" si="19"/>
        <v>0</v>
      </c>
      <c r="O121" s="167">
        <f t="shared" si="17"/>
        <v>87.909999999999968</v>
      </c>
      <c r="P121" s="184" t="s">
        <v>203</v>
      </c>
      <c r="Q121" s="187"/>
      <c r="R121" s="128">
        <v>1</v>
      </c>
      <c r="S121" s="128">
        <v>0.96489999999999998</v>
      </c>
      <c r="T121" s="174">
        <v>57</v>
      </c>
      <c r="U121" s="174">
        <v>57</v>
      </c>
      <c r="V121" s="174">
        <v>0</v>
      </c>
      <c r="W121" s="169">
        <v>57</v>
      </c>
      <c r="X121" s="174">
        <f>+T121-W121</f>
        <v>0</v>
      </c>
    </row>
    <row r="122" spans="1:24" ht="16.149999999999999" customHeight="1" x14ac:dyDescent="0.2">
      <c r="A122" s="186" t="s">
        <v>711</v>
      </c>
      <c r="B122" s="177">
        <v>43458</v>
      </c>
      <c r="C122" s="171"/>
      <c r="D122" s="165"/>
      <c r="E122" s="165"/>
      <c r="F122" s="165"/>
      <c r="G122" s="167">
        <f>1366.7+0.06600255</f>
        <v>1366.7660025499999</v>
      </c>
      <c r="H122" s="167">
        <v>0</v>
      </c>
      <c r="I122" s="167">
        <f t="shared" si="16"/>
        <v>1366.7660025499999</v>
      </c>
      <c r="J122" s="167">
        <f>13.03+1276.903679681+30.5+32.9689938501</f>
        <v>1353.4026735311002</v>
      </c>
      <c r="K122" s="167">
        <v>0</v>
      </c>
      <c r="L122" s="167">
        <f t="shared" si="11"/>
        <v>1353.4026735311002</v>
      </c>
      <c r="M122" s="127">
        <f t="shared" si="18"/>
        <v>13.363329018899776</v>
      </c>
      <c r="N122" s="167">
        <f t="shared" si="19"/>
        <v>0</v>
      </c>
      <c r="O122" s="167">
        <f t="shared" si="17"/>
        <v>13.363329018899776</v>
      </c>
      <c r="P122" s="178" t="s">
        <v>203</v>
      </c>
      <c r="Q122" s="168"/>
      <c r="R122" s="128">
        <v>1</v>
      </c>
      <c r="S122" s="128">
        <v>1</v>
      </c>
      <c r="T122" s="174">
        <v>50</v>
      </c>
      <c r="U122" s="174">
        <v>50</v>
      </c>
      <c r="V122" s="174">
        <v>1</v>
      </c>
      <c r="W122" s="174">
        <v>49</v>
      </c>
      <c r="X122" s="169">
        <f>T122-W122</f>
        <v>1</v>
      </c>
    </row>
    <row r="123" spans="1:24" ht="16.149999999999999" customHeight="1" x14ac:dyDescent="0.2">
      <c r="A123" s="186" t="s">
        <v>712</v>
      </c>
      <c r="B123" s="177" t="s">
        <v>713</v>
      </c>
      <c r="C123" s="171"/>
      <c r="D123" s="165"/>
      <c r="E123" s="165"/>
      <c r="F123" s="165"/>
      <c r="G123" s="167">
        <f>208.87+454.68</f>
        <v>663.55</v>
      </c>
      <c r="H123" s="167">
        <v>0</v>
      </c>
      <c r="I123" s="167">
        <f t="shared" si="16"/>
        <v>663.55</v>
      </c>
      <c r="J123" s="167">
        <f>176.26+32.59+454.67</f>
        <v>663.52</v>
      </c>
      <c r="K123" s="167">
        <v>0</v>
      </c>
      <c r="L123" s="167">
        <f t="shared" si="11"/>
        <v>663.52</v>
      </c>
      <c r="M123" s="127">
        <f t="shared" si="18"/>
        <v>2.9999999999972715E-2</v>
      </c>
      <c r="N123" s="167">
        <f t="shared" si="19"/>
        <v>0</v>
      </c>
      <c r="O123" s="167">
        <f t="shared" si="17"/>
        <v>2.9999999999972715E-2</v>
      </c>
      <c r="P123" s="178" t="s">
        <v>203</v>
      </c>
      <c r="Q123" s="168"/>
      <c r="R123" s="128">
        <v>1</v>
      </c>
      <c r="S123" s="128">
        <v>1</v>
      </c>
      <c r="T123" s="174">
        <f>7+15</f>
        <v>22</v>
      </c>
      <c r="U123" s="174">
        <f>7+15</f>
        <v>22</v>
      </c>
      <c r="V123" s="174">
        <v>0</v>
      </c>
      <c r="W123" s="174">
        <v>22</v>
      </c>
      <c r="X123" s="169">
        <f>T123-W123</f>
        <v>0</v>
      </c>
    </row>
    <row r="124" spans="1:24" ht="16.149999999999999" customHeight="1" x14ac:dyDescent="0.2">
      <c r="A124" s="182" t="s">
        <v>536</v>
      </c>
      <c r="B124" s="177" t="s">
        <v>537</v>
      </c>
      <c r="C124" s="171">
        <v>44914</v>
      </c>
      <c r="D124" s="165"/>
      <c r="E124" s="165"/>
      <c r="F124" s="165"/>
      <c r="G124" s="167">
        <v>2638.07</v>
      </c>
      <c r="H124" s="167">
        <v>0</v>
      </c>
      <c r="I124" s="167">
        <f t="shared" si="16"/>
        <v>2638.07</v>
      </c>
      <c r="J124" s="167">
        <f>286.91+51.63+61.58+10.93+4.4+15.83+4.77+59.85+62.92+208.4+53.61+81.47+45.23+49.23+65.44+68.02+43.38+25.56+129.12+15.25+65.26+398.28+44.15+196.49+145.48+196.49-196.49+27.17+9.6+10.34+97.48</f>
        <v>2337.7800000000007</v>
      </c>
      <c r="K124" s="167">
        <v>0</v>
      </c>
      <c r="L124" s="167">
        <f t="shared" si="11"/>
        <v>2337.7800000000007</v>
      </c>
      <c r="M124" s="127">
        <f t="shared" si="18"/>
        <v>300.28999999999951</v>
      </c>
      <c r="N124" s="167">
        <f t="shared" si="19"/>
        <v>0</v>
      </c>
      <c r="O124" s="167">
        <f t="shared" si="17"/>
        <v>300.28999999999951</v>
      </c>
      <c r="P124" s="178">
        <f>286.91+51.63+61.58+10.93+4.4+15.83+4.77+59.85+62.92+208.4+53.61+81.47+45.23+49.23+65.44+68.02+43.38+25.56+129.12+15.25+65.26+398.28+44.15+196.49+145.48+196.49-196.49+27.17+9.6+10.34+97.48</f>
        <v>2337.7800000000007</v>
      </c>
      <c r="Q124" s="168"/>
      <c r="R124" s="128">
        <v>0.77839999999999998</v>
      </c>
      <c r="S124" s="128">
        <v>0.97550000000000003</v>
      </c>
      <c r="T124" s="169">
        <v>98</v>
      </c>
      <c r="U124" s="169">
        <v>0</v>
      </c>
      <c r="V124" s="169">
        <v>0</v>
      </c>
      <c r="W124" s="169">
        <v>0</v>
      </c>
      <c r="X124" s="169">
        <f>T124-W124</f>
        <v>98</v>
      </c>
    </row>
    <row r="125" spans="1:24" ht="16.149999999999999" customHeight="1" x14ac:dyDescent="0.2">
      <c r="A125" s="173" t="s">
        <v>714</v>
      </c>
      <c r="B125" s="177" t="s">
        <v>715</v>
      </c>
      <c r="C125" s="171">
        <v>43977</v>
      </c>
      <c r="D125" s="165"/>
      <c r="E125" s="165"/>
      <c r="F125" s="165" t="s">
        <v>1250</v>
      </c>
      <c r="G125" s="167">
        <f>296.73+0.36+0.03961018</f>
        <v>297.12961018000004</v>
      </c>
      <c r="H125" s="167">
        <v>0</v>
      </c>
      <c r="I125" s="167">
        <f t="shared" si="16"/>
        <v>297.12961018000004</v>
      </c>
      <c r="J125" s="167">
        <f>120.35+7.14+45.21+15.84+9.36+18.12+22.05+45.39+2.01+1.03+8.15</f>
        <v>294.64999999999992</v>
      </c>
      <c r="K125" s="167">
        <v>0</v>
      </c>
      <c r="L125" s="167">
        <f t="shared" si="11"/>
        <v>294.64999999999992</v>
      </c>
      <c r="M125" s="127">
        <f t="shared" si="18"/>
        <v>2.4796101800001225</v>
      </c>
      <c r="N125" s="167">
        <f t="shared" si="19"/>
        <v>0</v>
      </c>
      <c r="O125" s="167">
        <f t="shared" si="17"/>
        <v>2.4796101800001225</v>
      </c>
      <c r="P125" s="184" t="s">
        <v>203</v>
      </c>
      <c r="Q125" s="187"/>
      <c r="R125" s="128">
        <v>1</v>
      </c>
      <c r="S125" s="128">
        <v>0.81540000000000001</v>
      </c>
      <c r="T125" s="174">
        <v>14</v>
      </c>
      <c r="U125" s="174">
        <v>14</v>
      </c>
      <c r="V125" s="174">
        <v>0</v>
      </c>
      <c r="W125" s="169">
        <v>14</v>
      </c>
      <c r="X125" s="174">
        <f>+T125-W125</f>
        <v>0</v>
      </c>
    </row>
    <row r="126" spans="1:24" ht="16.149999999999999" customHeight="1" x14ac:dyDescent="0.2">
      <c r="A126" s="186" t="s">
        <v>716</v>
      </c>
      <c r="B126" s="177">
        <v>43577</v>
      </c>
      <c r="C126" s="171"/>
      <c r="D126" s="165"/>
      <c r="E126" s="165"/>
      <c r="F126" s="165"/>
      <c r="G126" s="167">
        <v>2132.83</v>
      </c>
      <c r="H126" s="167">
        <v>0</v>
      </c>
      <c r="I126" s="167">
        <f t="shared" si="16"/>
        <v>2132.83</v>
      </c>
      <c r="J126" s="167">
        <f>2096.76+36.07</f>
        <v>2132.8300000000004</v>
      </c>
      <c r="K126" s="167">
        <v>0</v>
      </c>
      <c r="L126" s="167">
        <f t="shared" si="11"/>
        <v>2132.8300000000004</v>
      </c>
      <c r="M126" s="127">
        <f t="shared" si="18"/>
        <v>0</v>
      </c>
      <c r="N126" s="167">
        <f t="shared" si="19"/>
        <v>0</v>
      </c>
      <c r="O126" s="167">
        <f t="shared" si="17"/>
        <v>0</v>
      </c>
      <c r="P126" s="178" t="s">
        <v>203</v>
      </c>
      <c r="Q126" s="168"/>
      <c r="R126" s="128">
        <v>1</v>
      </c>
      <c r="S126" s="128">
        <v>1</v>
      </c>
      <c r="T126" s="174">
        <v>64</v>
      </c>
      <c r="U126" s="174">
        <v>64</v>
      </c>
      <c r="V126" s="174">
        <v>0</v>
      </c>
      <c r="W126" s="174">
        <v>64</v>
      </c>
      <c r="X126" s="169">
        <f t="shared" ref="X126:X138" si="20">T126-W126</f>
        <v>0</v>
      </c>
    </row>
    <row r="127" spans="1:24" ht="16.149999999999999" customHeight="1" x14ac:dyDescent="0.2">
      <c r="A127" s="186" t="s">
        <v>717</v>
      </c>
      <c r="B127" s="177">
        <v>43633</v>
      </c>
      <c r="C127" s="171"/>
      <c r="D127" s="165"/>
      <c r="E127" s="165"/>
      <c r="F127" s="165"/>
      <c r="G127" s="167">
        <v>1281.54</v>
      </c>
      <c r="H127" s="167">
        <v>0</v>
      </c>
      <c r="I127" s="167">
        <f t="shared" si="16"/>
        <v>1281.54</v>
      </c>
      <c r="J127" s="167">
        <v>1268.72</v>
      </c>
      <c r="K127" s="167">
        <v>0</v>
      </c>
      <c r="L127" s="167">
        <f t="shared" si="11"/>
        <v>1268.72</v>
      </c>
      <c r="M127" s="127">
        <f t="shared" si="18"/>
        <v>12.819999999999936</v>
      </c>
      <c r="N127" s="167">
        <f t="shared" si="19"/>
        <v>0</v>
      </c>
      <c r="O127" s="167">
        <f t="shared" si="17"/>
        <v>12.819999999999936</v>
      </c>
      <c r="P127" s="178" t="s">
        <v>203</v>
      </c>
      <c r="Q127" s="168"/>
      <c r="R127" s="128">
        <v>1</v>
      </c>
      <c r="S127" s="128">
        <v>1</v>
      </c>
      <c r="T127" s="174">
        <v>60</v>
      </c>
      <c r="U127" s="174">
        <v>60</v>
      </c>
      <c r="V127" s="174">
        <v>0</v>
      </c>
      <c r="W127" s="174">
        <v>60</v>
      </c>
      <c r="X127" s="169">
        <f t="shared" si="20"/>
        <v>0</v>
      </c>
    </row>
    <row r="128" spans="1:24" ht="16.149999999999999" customHeight="1" x14ac:dyDescent="0.2">
      <c r="A128" s="182" t="s">
        <v>1251</v>
      </c>
      <c r="B128" s="177">
        <v>43633</v>
      </c>
      <c r="C128" s="171"/>
      <c r="D128" s="165"/>
      <c r="E128" s="165"/>
      <c r="F128" s="165"/>
      <c r="G128" s="167">
        <v>146.94</v>
      </c>
      <c r="H128" s="167">
        <v>0</v>
      </c>
      <c r="I128" s="167">
        <f t="shared" si="16"/>
        <v>146.94</v>
      </c>
      <c r="J128" s="167">
        <f>142.44+4.5</f>
        <v>146.94</v>
      </c>
      <c r="K128" s="167">
        <v>0</v>
      </c>
      <c r="L128" s="167">
        <f t="shared" si="11"/>
        <v>146.94</v>
      </c>
      <c r="M128" s="127">
        <f t="shared" si="18"/>
        <v>0</v>
      </c>
      <c r="N128" s="167">
        <f t="shared" si="19"/>
        <v>0</v>
      </c>
      <c r="O128" s="167">
        <f t="shared" si="17"/>
        <v>0</v>
      </c>
      <c r="P128" s="178">
        <v>0</v>
      </c>
      <c r="Q128" s="168"/>
      <c r="R128" s="128">
        <v>1</v>
      </c>
      <c r="S128" s="128">
        <v>0</v>
      </c>
      <c r="T128" s="169">
        <v>9</v>
      </c>
      <c r="U128" s="169">
        <v>9</v>
      </c>
      <c r="V128" s="169">
        <v>0</v>
      </c>
      <c r="W128" s="169">
        <v>9</v>
      </c>
      <c r="X128" s="169">
        <f t="shared" si="20"/>
        <v>0</v>
      </c>
    </row>
    <row r="129" spans="1:24" ht="16.149999999999999" customHeight="1" x14ac:dyDescent="0.2">
      <c r="A129" s="182" t="s">
        <v>718</v>
      </c>
      <c r="B129" s="177" t="s">
        <v>719</v>
      </c>
      <c r="C129" s="171">
        <v>44823</v>
      </c>
      <c r="D129" s="165"/>
      <c r="E129" s="165"/>
      <c r="F129" s="165"/>
      <c r="G129" s="167">
        <f>5351.25282808+2.54394826+1.33606287+0.4109234311+0.29321317+0.37047251+0.02180258+1.64671068+0.30384787+0.29027265+0.14521879</f>
        <v>5358.6153008911006</v>
      </c>
      <c r="H129" s="167">
        <v>0</v>
      </c>
      <c r="I129" s="167">
        <f t="shared" si="16"/>
        <v>5358.6153008911006</v>
      </c>
      <c r="J129" s="167">
        <f>1833.09+3.33+25.16+828.42+100.41+26.75+50.75+42.75+48.91+46.97+39.79+393.14+14.56+35.73+94.18+19.2+38.41</f>
        <v>3641.5499999999988</v>
      </c>
      <c r="K129" s="167">
        <v>0</v>
      </c>
      <c r="L129" s="167">
        <f t="shared" si="11"/>
        <v>3641.5499999999988</v>
      </c>
      <c r="M129" s="127">
        <f t="shared" si="18"/>
        <v>1717.0653008911017</v>
      </c>
      <c r="N129" s="167">
        <f t="shared" si="19"/>
        <v>0</v>
      </c>
      <c r="O129" s="167">
        <f t="shared" si="17"/>
        <v>1717.0653008911017</v>
      </c>
      <c r="P129" s="178" t="s">
        <v>203</v>
      </c>
      <c r="Q129" s="168"/>
      <c r="R129" s="128">
        <v>1</v>
      </c>
      <c r="S129" s="128">
        <v>0.1119</v>
      </c>
      <c r="T129" s="169">
        <v>211</v>
      </c>
      <c r="U129" s="169">
        <v>211</v>
      </c>
      <c r="V129" s="169">
        <v>1</v>
      </c>
      <c r="W129" s="169">
        <v>207</v>
      </c>
      <c r="X129" s="169">
        <f t="shared" si="20"/>
        <v>4</v>
      </c>
    </row>
    <row r="130" spans="1:24" ht="16.149999999999999" customHeight="1" x14ac:dyDescent="0.2">
      <c r="A130" s="186" t="s">
        <v>720</v>
      </c>
      <c r="B130" s="177">
        <v>43815</v>
      </c>
      <c r="C130" s="171"/>
      <c r="D130" s="165"/>
      <c r="E130" s="165"/>
      <c r="F130" s="165"/>
      <c r="G130" s="167">
        <v>2448.0500000000002</v>
      </c>
      <c r="H130" s="167">
        <v>0</v>
      </c>
      <c r="I130" s="167">
        <f t="shared" si="16"/>
        <v>2448.0500000000002</v>
      </c>
      <c r="J130" s="167">
        <f>1799.83+427.77+55.79+140.19</f>
        <v>2423.58</v>
      </c>
      <c r="K130" s="167">
        <v>0</v>
      </c>
      <c r="L130" s="167">
        <f t="shared" si="11"/>
        <v>2423.58</v>
      </c>
      <c r="M130" s="127">
        <f t="shared" si="18"/>
        <v>24.470000000000255</v>
      </c>
      <c r="N130" s="167">
        <f t="shared" si="19"/>
        <v>0</v>
      </c>
      <c r="O130" s="167">
        <f t="shared" si="17"/>
        <v>24.470000000000255</v>
      </c>
      <c r="P130" s="178" t="s">
        <v>203</v>
      </c>
      <c r="Q130" s="168"/>
      <c r="R130" s="128">
        <v>1</v>
      </c>
      <c r="S130" s="128">
        <v>1</v>
      </c>
      <c r="T130" s="174">
        <v>85</v>
      </c>
      <c r="U130" s="174">
        <v>85</v>
      </c>
      <c r="V130" s="174">
        <v>0</v>
      </c>
      <c r="W130" s="174">
        <v>85</v>
      </c>
      <c r="X130" s="169">
        <f t="shared" si="20"/>
        <v>0</v>
      </c>
    </row>
    <row r="131" spans="1:24" ht="16.149999999999999" customHeight="1" x14ac:dyDescent="0.2">
      <c r="A131" s="182" t="s">
        <v>721</v>
      </c>
      <c r="B131" s="177" t="s">
        <v>1252</v>
      </c>
      <c r="C131" s="171">
        <v>44894</v>
      </c>
      <c r="D131" s="165"/>
      <c r="E131" s="165"/>
      <c r="F131" s="165"/>
      <c r="G131" s="167">
        <v>2964.8418074800002</v>
      </c>
      <c r="H131" s="167">
        <v>0</v>
      </c>
      <c r="I131" s="167">
        <f t="shared" si="16"/>
        <v>2964.8418074800002</v>
      </c>
      <c r="J131" s="167">
        <f>347.05+191.53+4.14+69.46+183.61+108.7+31.16+177.4+65.97+180.83+8.62+204.83+3.8+194.15+127.12+95.62+149.48+80+61.61</f>
        <v>2285.08</v>
      </c>
      <c r="K131" s="167">
        <v>0</v>
      </c>
      <c r="L131" s="167">
        <f t="shared" si="11"/>
        <v>2285.08</v>
      </c>
      <c r="M131" s="127">
        <f t="shared" si="18"/>
        <v>679.76180748000024</v>
      </c>
      <c r="N131" s="167">
        <f t="shared" si="19"/>
        <v>0</v>
      </c>
      <c r="O131" s="167">
        <f t="shared" si="17"/>
        <v>679.76180748000024</v>
      </c>
      <c r="P131" s="178">
        <f>347.05+191.53+4.14+69.46+183.61+108.7+31.16+177.4+65.97+180.83+8.62+204.83+3.8+194.15+127.12+95.62+149.48+80+61.61</f>
        <v>2285.08</v>
      </c>
      <c r="Q131" s="168"/>
      <c r="R131" s="128">
        <v>0.56140000000000001</v>
      </c>
      <c r="S131" s="128">
        <v>0.24660000000000001</v>
      </c>
      <c r="T131" s="169">
        <v>132</v>
      </c>
      <c r="U131" s="169">
        <v>0</v>
      </c>
      <c r="V131" s="169">
        <v>0</v>
      </c>
      <c r="W131" s="169">
        <v>0</v>
      </c>
      <c r="X131" s="169">
        <f t="shared" si="20"/>
        <v>132</v>
      </c>
    </row>
    <row r="132" spans="1:24" ht="16.149999999999999" customHeight="1" x14ac:dyDescent="0.2">
      <c r="A132" s="182" t="s">
        <v>27</v>
      </c>
      <c r="B132" s="177">
        <v>43948</v>
      </c>
      <c r="C132" s="171">
        <v>44767</v>
      </c>
      <c r="D132" s="165"/>
      <c r="E132" s="165"/>
      <c r="F132" s="165"/>
      <c r="G132" s="167">
        <v>2041.0780867399999</v>
      </c>
      <c r="H132" s="167">
        <v>0</v>
      </c>
      <c r="I132" s="167">
        <f t="shared" si="16"/>
        <v>2041.0780867399999</v>
      </c>
      <c r="J132" s="167">
        <f>114.38+54.55+55.08+61.98+76.84+56.12</f>
        <v>418.95000000000005</v>
      </c>
      <c r="K132" s="167">
        <v>0</v>
      </c>
      <c r="L132" s="167">
        <f t="shared" si="11"/>
        <v>418.95000000000005</v>
      </c>
      <c r="M132" s="127">
        <f t="shared" si="18"/>
        <v>1622.1280867399998</v>
      </c>
      <c r="N132" s="167">
        <f t="shared" si="19"/>
        <v>0</v>
      </c>
      <c r="O132" s="167">
        <f t="shared" si="17"/>
        <v>1622.1280867399998</v>
      </c>
      <c r="P132" s="178">
        <f>114.38+54.55+55.08+61.98+76.84+56.12</f>
        <v>418.95000000000005</v>
      </c>
      <c r="Q132" s="168"/>
      <c r="R132" s="128">
        <v>0.16009999999999999</v>
      </c>
      <c r="S132" s="128">
        <v>0</v>
      </c>
      <c r="T132" s="169">
        <v>72</v>
      </c>
      <c r="U132" s="169">
        <v>73</v>
      </c>
      <c r="V132" s="169">
        <v>0</v>
      </c>
      <c r="W132" s="169">
        <v>0</v>
      </c>
      <c r="X132" s="169">
        <f t="shared" si="20"/>
        <v>72</v>
      </c>
    </row>
    <row r="133" spans="1:24" ht="16.149999999999999" customHeight="1" x14ac:dyDescent="0.2">
      <c r="A133" s="186" t="s">
        <v>1253</v>
      </c>
      <c r="B133" s="177">
        <v>44053</v>
      </c>
      <c r="C133" s="171"/>
      <c r="D133" s="165"/>
      <c r="E133" s="165"/>
      <c r="F133" s="165"/>
      <c r="G133" s="167">
        <v>585.68393400000002</v>
      </c>
      <c r="H133" s="167">
        <v>0</v>
      </c>
      <c r="I133" s="167">
        <f t="shared" si="16"/>
        <v>585.68393400000002</v>
      </c>
      <c r="J133" s="167">
        <v>579.83000000000004</v>
      </c>
      <c r="K133" s="167">
        <v>0</v>
      </c>
      <c r="L133" s="167">
        <f t="shared" si="11"/>
        <v>579.83000000000004</v>
      </c>
      <c r="M133" s="127">
        <f t="shared" si="18"/>
        <v>5.8539339999999811</v>
      </c>
      <c r="N133" s="167">
        <f t="shared" si="19"/>
        <v>0</v>
      </c>
      <c r="O133" s="167">
        <f t="shared" si="17"/>
        <v>5.8539339999999811</v>
      </c>
      <c r="P133" s="178" t="s">
        <v>203</v>
      </c>
      <c r="Q133" s="168"/>
      <c r="R133" s="128">
        <v>1</v>
      </c>
      <c r="S133" s="128">
        <v>1</v>
      </c>
      <c r="T133" s="174">
        <v>20</v>
      </c>
      <c r="U133" s="174">
        <v>20</v>
      </c>
      <c r="V133" s="174">
        <v>0</v>
      </c>
      <c r="W133" s="174">
        <v>20</v>
      </c>
      <c r="X133" s="169">
        <f t="shared" si="20"/>
        <v>0</v>
      </c>
    </row>
    <row r="134" spans="1:24" ht="16.149999999999999" customHeight="1" x14ac:dyDescent="0.2">
      <c r="A134" s="182" t="s">
        <v>1254</v>
      </c>
      <c r="B134" s="177">
        <v>44061</v>
      </c>
      <c r="C134" s="171">
        <v>44567</v>
      </c>
      <c r="D134" s="165"/>
      <c r="E134" s="165"/>
      <c r="F134" s="165"/>
      <c r="G134" s="167">
        <v>231.51026820000001</v>
      </c>
      <c r="H134" s="167">
        <v>0</v>
      </c>
      <c r="I134" s="167">
        <f t="shared" si="16"/>
        <v>231.51026820000001</v>
      </c>
      <c r="J134" s="167">
        <f>73.95637072+0.29671249+18.00027908+10.6054141+5.95563382+5.7+5.7</f>
        <v>120.21441021000001</v>
      </c>
      <c r="K134" s="167">
        <v>0</v>
      </c>
      <c r="L134" s="167">
        <f t="shared" si="11"/>
        <v>120.21441021000001</v>
      </c>
      <c r="M134" s="127">
        <f t="shared" si="18"/>
        <v>111.29585799</v>
      </c>
      <c r="N134" s="167">
        <f t="shared" si="19"/>
        <v>0</v>
      </c>
      <c r="O134" s="167">
        <f t="shared" si="17"/>
        <v>111.29585799</v>
      </c>
      <c r="P134" s="178" t="s">
        <v>203</v>
      </c>
      <c r="Q134" s="168"/>
      <c r="R134" s="128">
        <v>1</v>
      </c>
      <c r="S134" s="128">
        <v>0.25790000000000002</v>
      </c>
      <c r="T134" s="169">
        <v>14</v>
      </c>
      <c r="U134" s="169">
        <v>14</v>
      </c>
      <c r="V134" s="169">
        <v>0</v>
      </c>
      <c r="W134" s="169">
        <v>14</v>
      </c>
      <c r="X134" s="169">
        <f t="shared" si="20"/>
        <v>0</v>
      </c>
    </row>
    <row r="135" spans="1:24" ht="16.149999999999999" customHeight="1" x14ac:dyDescent="0.2">
      <c r="A135" s="186" t="s">
        <v>1255</v>
      </c>
      <c r="B135" s="177" t="s">
        <v>1256</v>
      </c>
      <c r="C135" s="171"/>
      <c r="D135" s="165"/>
      <c r="E135" s="165"/>
      <c r="F135" s="165"/>
      <c r="G135" s="188">
        <f>1798.15729281+123.69296491+2.94492685+78.27598887+117.9306974</f>
        <v>2121.0018708399998</v>
      </c>
      <c r="H135" s="167">
        <v>0</v>
      </c>
      <c r="I135" s="167">
        <f t="shared" si="16"/>
        <v>2121.0018708399998</v>
      </c>
      <c r="J135" s="167">
        <f>15.79099948+1547.51794934+172.54+138.26+31.43+77.49+116.79</f>
        <v>2099.8189488200001</v>
      </c>
      <c r="K135" s="167">
        <v>0</v>
      </c>
      <c r="L135" s="167">
        <f t="shared" si="11"/>
        <v>2099.8189488200001</v>
      </c>
      <c r="M135" s="127">
        <f t="shared" si="18"/>
        <v>21.182922019999751</v>
      </c>
      <c r="N135" s="167">
        <f t="shared" si="19"/>
        <v>0</v>
      </c>
      <c r="O135" s="167">
        <f t="shared" si="17"/>
        <v>21.182922019999751</v>
      </c>
      <c r="P135" s="178" t="s">
        <v>203</v>
      </c>
      <c r="Q135" s="168"/>
      <c r="R135" s="128">
        <v>1</v>
      </c>
      <c r="S135" s="128">
        <v>1</v>
      </c>
      <c r="T135" s="174">
        <f>78+5+3+5</f>
        <v>91</v>
      </c>
      <c r="U135" s="174">
        <f>78+5+3+5</f>
        <v>91</v>
      </c>
      <c r="V135" s="174">
        <v>0</v>
      </c>
      <c r="W135" s="174">
        <v>91</v>
      </c>
      <c r="X135" s="169">
        <f t="shared" si="20"/>
        <v>0</v>
      </c>
    </row>
    <row r="136" spans="1:24" ht="16.149999999999999" customHeight="1" x14ac:dyDescent="0.2">
      <c r="A136" s="182" t="s">
        <v>1257</v>
      </c>
      <c r="B136" s="177">
        <v>44137</v>
      </c>
      <c r="C136" s="171">
        <v>44741</v>
      </c>
      <c r="D136" s="165"/>
      <c r="E136" s="165"/>
      <c r="F136" s="165"/>
      <c r="G136" s="167">
        <v>432.74636400999998</v>
      </c>
      <c r="H136" s="167">
        <v>0</v>
      </c>
      <c r="I136" s="167">
        <f t="shared" si="16"/>
        <v>432.74636400999998</v>
      </c>
      <c r="J136" s="167">
        <v>114.74036314</v>
      </c>
      <c r="K136" s="167">
        <v>0</v>
      </c>
      <c r="L136" s="167">
        <f t="shared" si="11"/>
        <v>114.74036314</v>
      </c>
      <c r="M136" s="127">
        <f t="shared" si="18"/>
        <v>318.00600086999998</v>
      </c>
      <c r="N136" s="167">
        <f t="shared" si="19"/>
        <v>0</v>
      </c>
      <c r="O136" s="167">
        <f t="shared" si="17"/>
        <v>318.00600086999998</v>
      </c>
      <c r="P136" s="178" t="s">
        <v>203</v>
      </c>
      <c r="Q136" s="168"/>
      <c r="R136" s="128">
        <v>1</v>
      </c>
      <c r="S136" s="128">
        <v>0</v>
      </c>
      <c r="T136" s="169">
        <v>21</v>
      </c>
      <c r="U136" s="169">
        <v>21</v>
      </c>
      <c r="V136" s="169">
        <v>4</v>
      </c>
      <c r="W136" s="169">
        <v>17</v>
      </c>
      <c r="X136" s="169">
        <f t="shared" si="20"/>
        <v>4</v>
      </c>
    </row>
    <row r="137" spans="1:24" ht="16.149999999999999" customHeight="1" x14ac:dyDescent="0.2">
      <c r="A137" s="186" t="s">
        <v>1258</v>
      </c>
      <c r="B137" s="177">
        <v>44151</v>
      </c>
      <c r="C137" s="171"/>
      <c r="D137" s="165"/>
      <c r="E137" s="165"/>
      <c r="F137" s="165"/>
      <c r="G137" s="167">
        <v>689.23179371000003</v>
      </c>
      <c r="H137" s="167">
        <v>0</v>
      </c>
      <c r="I137" s="167">
        <f t="shared" si="16"/>
        <v>689.23179371000003</v>
      </c>
      <c r="J137" s="167">
        <v>682.34</v>
      </c>
      <c r="K137" s="167">
        <v>0</v>
      </c>
      <c r="L137" s="167">
        <f t="shared" si="11"/>
        <v>682.34</v>
      </c>
      <c r="M137" s="127">
        <f t="shared" si="18"/>
        <v>6.8917937100000017</v>
      </c>
      <c r="N137" s="167">
        <f t="shared" si="19"/>
        <v>0</v>
      </c>
      <c r="O137" s="167">
        <f t="shared" si="17"/>
        <v>6.8917937100000017</v>
      </c>
      <c r="P137" s="178" t="s">
        <v>203</v>
      </c>
      <c r="Q137" s="168"/>
      <c r="R137" s="128">
        <v>1</v>
      </c>
      <c r="S137" s="128">
        <v>1</v>
      </c>
      <c r="T137" s="174">
        <v>23</v>
      </c>
      <c r="U137" s="174">
        <v>23</v>
      </c>
      <c r="V137" s="174">
        <v>0</v>
      </c>
      <c r="W137" s="174">
        <v>23</v>
      </c>
      <c r="X137" s="169">
        <f t="shared" si="20"/>
        <v>0</v>
      </c>
    </row>
    <row r="138" spans="1:24" ht="16.149999999999999" customHeight="1" x14ac:dyDescent="0.2">
      <c r="A138" s="186" t="s">
        <v>1259</v>
      </c>
      <c r="B138" s="177">
        <v>44179</v>
      </c>
      <c r="C138" s="171"/>
      <c r="D138" s="165"/>
      <c r="E138" s="165"/>
      <c r="F138" s="165"/>
      <c r="G138" s="167">
        <v>215.10063627</v>
      </c>
      <c r="H138" s="167">
        <v>0</v>
      </c>
      <c r="I138" s="167">
        <f>G138+H138</f>
        <v>215.10063627</v>
      </c>
      <c r="J138" s="167">
        <f>183.3+29.65</f>
        <v>212.95000000000002</v>
      </c>
      <c r="K138" s="167">
        <v>0</v>
      </c>
      <c r="L138" s="167">
        <f t="shared" si="11"/>
        <v>212.95000000000002</v>
      </c>
      <c r="M138" s="127">
        <f t="shared" si="18"/>
        <v>2.1506362699999784</v>
      </c>
      <c r="N138" s="167">
        <f t="shared" si="19"/>
        <v>0</v>
      </c>
      <c r="O138" s="167">
        <f t="shared" si="17"/>
        <v>2.1506362699999784</v>
      </c>
      <c r="P138" s="178" t="s">
        <v>203</v>
      </c>
      <c r="Q138" s="168"/>
      <c r="R138" s="128">
        <v>1</v>
      </c>
      <c r="S138" s="128">
        <v>1</v>
      </c>
      <c r="T138" s="174">
        <v>7</v>
      </c>
      <c r="U138" s="174">
        <v>7</v>
      </c>
      <c r="V138" s="174">
        <v>0</v>
      </c>
      <c r="W138" s="174">
        <v>7</v>
      </c>
      <c r="X138" s="169">
        <f t="shared" si="20"/>
        <v>0</v>
      </c>
    </row>
    <row r="139" spans="1:24" ht="16.149999999999999" customHeight="1" x14ac:dyDescent="0.2">
      <c r="A139" s="189" t="s">
        <v>211</v>
      </c>
      <c r="B139" s="189"/>
      <c r="C139" s="189"/>
      <c r="D139" s="189"/>
      <c r="E139" s="189"/>
      <c r="F139" s="189"/>
      <c r="G139" s="190">
        <f>SUM(G10:G138)</f>
        <v>150196.05639376573</v>
      </c>
      <c r="H139" s="190">
        <f t="shared" ref="H139:P139" si="21">SUM(H10:H138)</f>
        <v>3790.9813097299993</v>
      </c>
      <c r="I139" s="190">
        <f t="shared" si="21"/>
        <v>153987.03770349573</v>
      </c>
      <c r="J139" s="190">
        <f t="shared" si="21"/>
        <v>142935.55729531113</v>
      </c>
      <c r="K139" s="190">
        <f t="shared" si="21"/>
        <v>2115.8089999999997</v>
      </c>
      <c r="L139" s="190">
        <f t="shared" si="21"/>
        <v>145051.36629531111</v>
      </c>
      <c r="M139" s="190">
        <f t="shared" si="21"/>
        <v>7225.9790984546162</v>
      </c>
      <c r="N139" s="190">
        <f t="shared" si="21"/>
        <v>1675.1723097299996</v>
      </c>
      <c r="O139" s="190">
        <f t="shared" si="21"/>
        <v>8901.151408184618</v>
      </c>
      <c r="P139" s="190">
        <f t="shared" si="21"/>
        <v>25364.344210090003</v>
      </c>
      <c r="Q139" s="191">
        <f>SUM(Q10:Q138)</f>
        <v>0</v>
      </c>
      <c r="R139" s="190"/>
      <c r="S139" s="190"/>
      <c r="T139" s="190">
        <f>SUM(T10:T138)</f>
        <v>9457</v>
      </c>
      <c r="U139" s="190">
        <f>SUM(U10:U138)</f>
        <v>16890</v>
      </c>
      <c r="V139" s="190">
        <f>SUM(V10:V138)</f>
        <v>71</v>
      </c>
      <c r="W139" s="190">
        <f>SUM(W10:W138)</f>
        <v>7714</v>
      </c>
      <c r="X139" s="190">
        <f>SUM(X10:X138)</f>
        <v>1743</v>
      </c>
    </row>
    <row r="140" spans="1:24" ht="16.149999999999999" customHeight="1" x14ac:dyDescent="0.2">
      <c r="A140" s="155"/>
      <c r="B140" s="156"/>
      <c r="C140" s="156"/>
      <c r="D140" s="156"/>
      <c r="E140" s="156"/>
      <c r="F140" s="156"/>
      <c r="G140" s="156"/>
      <c r="H140" s="156"/>
      <c r="I140" s="156"/>
      <c r="J140" s="156"/>
      <c r="K140" s="156"/>
      <c r="L140" s="146"/>
      <c r="M140" s="126"/>
      <c r="N140" s="146"/>
      <c r="O140" s="146"/>
      <c r="P140" s="146"/>
      <c r="Q140" s="146"/>
      <c r="R140" s="161"/>
      <c r="S140" s="161"/>
      <c r="T140" s="156"/>
      <c r="U140" s="156"/>
      <c r="V140" s="156"/>
      <c r="W140" s="156"/>
      <c r="X140" s="156"/>
    </row>
    <row r="141" spans="1:24" ht="16.149999999999999" customHeight="1" x14ac:dyDescent="0.2">
      <c r="A141" s="158" t="s">
        <v>212</v>
      </c>
      <c r="B141" s="158"/>
      <c r="C141" s="160"/>
      <c r="D141" s="160"/>
      <c r="E141" s="160"/>
      <c r="F141" s="160"/>
      <c r="G141" s="160"/>
      <c r="H141" s="160"/>
      <c r="I141" s="160"/>
      <c r="J141" s="160"/>
      <c r="K141" s="160"/>
      <c r="L141" s="146"/>
      <c r="M141" s="126"/>
      <c r="N141" s="146"/>
      <c r="O141" s="146"/>
      <c r="P141" s="146"/>
      <c r="Q141" s="146"/>
      <c r="R141" s="161"/>
      <c r="S141" s="161"/>
      <c r="T141" s="162"/>
      <c r="U141" s="162"/>
      <c r="V141" s="156"/>
      <c r="W141" s="156"/>
      <c r="X141" s="156"/>
    </row>
    <row r="142" spans="1:24" ht="16.149999999999999" customHeight="1" x14ac:dyDescent="0.2">
      <c r="A142" s="170" t="s">
        <v>213</v>
      </c>
      <c r="B142" s="171">
        <v>36929</v>
      </c>
      <c r="C142" s="171">
        <v>37126</v>
      </c>
      <c r="D142" s="165"/>
      <c r="E142" s="165"/>
      <c r="F142" s="165">
        <v>39751</v>
      </c>
      <c r="G142" s="167">
        <v>308.74</v>
      </c>
      <c r="H142" s="167">
        <v>0</v>
      </c>
      <c r="I142" s="167">
        <f t="shared" ref="I142:I173" si="22">G142+H142</f>
        <v>308.74</v>
      </c>
      <c r="J142" s="167">
        <f>301.01855273+7.72</f>
        <v>308.73855273000004</v>
      </c>
      <c r="K142" s="167">
        <v>0</v>
      </c>
      <c r="L142" s="167">
        <f t="shared" ref="L142:L157" si="23">J142+K142</f>
        <v>308.73855273000004</v>
      </c>
      <c r="M142" s="127">
        <f t="shared" ref="M142:M177" si="24">G142-J142</f>
        <v>1.4472699999714678E-3</v>
      </c>
      <c r="N142" s="167">
        <f t="shared" ref="N142:N177" si="25">H142-K142</f>
        <v>0</v>
      </c>
      <c r="O142" s="167">
        <f t="shared" ref="O142:O173" si="26">M142+N142</f>
        <v>1.4472699999714678E-3</v>
      </c>
      <c r="P142" s="167">
        <f>131.92-2.81-39.29-19.65-2.8-14.05-2.8-2.81-2.81-5.61-5.61</f>
        <v>33.679999999999993</v>
      </c>
      <c r="Q142" s="187"/>
      <c r="R142" s="128">
        <v>1</v>
      </c>
      <c r="S142" s="172">
        <v>1</v>
      </c>
      <c r="T142" s="169">
        <v>110</v>
      </c>
      <c r="U142" s="169">
        <v>110</v>
      </c>
      <c r="V142" s="169">
        <v>7</v>
      </c>
      <c r="W142" s="169">
        <v>98</v>
      </c>
      <c r="X142" s="169">
        <f>T142-W142</f>
        <v>12</v>
      </c>
    </row>
    <row r="143" spans="1:24" ht="16.149999999999999" customHeight="1" x14ac:dyDescent="0.2">
      <c r="A143" s="170" t="s">
        <v>722</v>
      </c>
      <c r="B143" s="171">
        <v>37714</v>
      </c>
      <c r="C143" s="171">
        <v>37909</v>
      </c>
      <c r="D143" s="165"/>
      <c r="E143" s="165"/>
      <c r="F143" s="165">
        <v>38306</v>
      </c>
      <c r="G143" s="167">
        <v>325.74</v>
      </c>
      <c r="H143" s="167">
        <v>0</v>
      </c>
      <c r="I143" s="167">
        <f t="shared" si="22"/>
        <v>325.74</v>
      </c>
      <c r="J143" s="167">
        <v>325.74</v>
      </c>
      <c r="K143" s="167">
        <v>0</v>
      </c>
      <c r="L143" s="167">
        <f t="shared" si="23"/>
        <v>325.74</v>
      </c>
      <c r="M143" s="167">
        <f t="shared" si="24"/>
        <v>0</v>
      </c>
      <c r="N143" s="167">
        <f t="shared" si="25"/>
        <v>0</v>
      </c>
      <c r="O143" s="167">
        <f t="shared" si="26"/>
        <v>0</v>
      </c>
      <c r="P143" s="167">
        <f>11.18-11.03-0.15</f>
        <v>3.6082248300317588E-16</v>
      </c>
      <c r="Q143" s="187"/>
      <c r="R143" s="128">
        <v>1</v>
      </c>
      <c r="S143" s="172">
        <v>1</v>
      </c>
      <c r="T143" s="169">
        <v>90</v>
      </c>
      <c r="U143" s="169">
        <v>90</v>
      </c>
      <c r="V143" s="169">
        <v>0</v>
      </c>
      <c r="W143" s="169">
        <v>90</v>
      </c>
      <c r="X143" s="169">
        <f t="shared" ref="X143:X191" si="27">T143-W143</f>
        <v>0</v>
      </c>
    </row>
    <row r="144" spans="1:24" ht="16.149999999999999" customHeight="1" x14ac:dyDescent="0.2">
      <c r="A144" s="170" t="s">
        <v>214</v>
      </c>
      <c r="B144" s="171">
        <v>36768</v>
      </c>
      <c r="C144" s="171" t="s">
        <v>202</v>
      </c>
      <c r="D144" s="165"/>
      <c r="E144" s="165"/>
      <c r="F144" s="165" t="s">
        <v>203</v>
      </c>
      <c r="G144" s="167">
        <v>710.64</v>
      </c>
      <c r="H144" s="167">
        <v>0</v>
      </c>
      <c r="I144" s="167">
        <f t="shared" si="22"/>
        <v>710.64</v>
      </c>
      <c r="J144" s="167">
        <f>100+11.378+86.226+513.035</f>
        <v>710.6389999999999</v>
      </c>
      <c r="K144" s="167">
        <v>0</v>
      </c>
      <c r="L144" s="167">
        <f t="shared" si="23"/>
        <v>710.6389999999999</v>
      </c>
      <c r="M144" s="127">
        <f t="shared" si="24"/>
        <v>1.00000000009004E-3</v>
      </c>
      <c r="N144" s="167">
        <f t="shared" si="25"/>
        <v>0</v>
      </c>
      <c r="O144" s="167">
        <f t="shared" si="26"/>
        <v>1.00000000009004E-3</v>
      </c>
      <c r="P144" s="167">
        <v>355.32</v>
      </c>
      <c r="Q144" s="187"/>
      <c r="R144" s="128">
        <v>1</v>
      </c>
      <c r="S144" s="172">
        <v>1</v>
      </c>
      <c r="T144" s="169">
        <v>328</v>
      </c>
      <c r="U144" s="169">
        <v>328</v>
      </c>
      <c r="V144" s="169">
        <v>13</v>
      </c>
      <c r="W144" s="169">
        <v>164</v>
      </c>
      <c r="X144" s="169">
        <f t="shared" si="27"/>
        <v>164</v>
      </c>
    </row>
    <row r="145" spans="1:24" ht="16.149999999999999" customHeight="1" x14ac:dyDescent="0.2">
      <c r="A145" s="170" t="s">
        <v>215</v>
      </c>
      <c r="B145" s="171">
        <v>36949</v>
      </c>
      <c r="C145" s="171" t="s">
        <v>202</v>
      </c>
      <c r="D145" s="165"/>
      <c r="E145" s="165"/>
      <c r="F145" s="165" t="s">
        <v>203</v>
      </c>
      <c r="G145" s="167">
        <v>75.964500000000001</v>
      </c>
      <c r="H145" s="167">
        <v>0</v>
      </c>
      <c r="I145" s="167">
        <f t="shared" si="22"/>
        <v>75.964500000000001</v>
      </c>
      <c r="J145" s="167">
        <f>59.964+16</f>
        <v>75.963999999999999</v>
      </c>
      <c r="K145" s="167">
        <v>0</v>
      </c>
      <c r="L145" s="167">
        <f t="shared" si="23"/>
        <v>75.963999999999999</v>
      </c>
      <c r="M145" s="127">
        <f t="shared" si="24"/>
        <v>5.0000000000238742E-4</v>
      </c>
      <c r="N145" s="167">
        <f t="shared" si="25"/>
        <v>0</v>
      </c>
      <c r="O145" s="167">
        <f t="shared" si="26"/>
        <v>5.0000000000238742E-4</v>
      </c>
      <c r="P145" s="167">
        <v>59.96</v>
      </c>
      <c r="Q145" s="187"/>
      <c r="R145" s="128">
        <v>1</v>
      </c>
      <c r="S145" s="172" t="s">
        <v>203</v>
      </c>
      <c r="T145" s="169">
        <v>0</v>
      </c>
      <c r="U145" s="169">
        <v>0</v>
      </c>
      <c r="V145" s="169">
        <v>0</v>
      </c>
      <c r="W145" s="169" t="s">
        <v>203</v>
      </c>
      <c r="X145" s="169">
        <v>0</v>
      </c>
    </row>
    <row r="146" spans="1:24" ht="16.149999999999999" customHeight="1" x14ac:dyDescent="0.2">
      <c r="A146" s="170" t="s">
        <v>723</v>
      </c>
      <c r="B146" s="171">
        <v>37777</v>
      </c>
      <c r="C146" s="171" t="s">
        <v>203</v>
      </c>
      <c r="D146" s="165"/>
      <c r="E146" s="165"/>
      <c r="F146" s="165" t="s">
        <v>203</v>
      </c>
      <c r="G146" s="167">
        <v>274.33999999999997</v>
      </c>
      <c r="H146" s="167">
        <v>0</v>
      </c>
      <c r="I146" s="167">
        <f t="shared" si="22"/>
        <v>274.33999999999997</v>
      </c>
      <c r="J146" s="167">
        <v>274.33999999999997</v>
      </c>
      <c r="K146" s="167">
        <v>0</v>
      </c>
      <c r="L146" s="167">
        <f t="shared" si="23"/>
        <v>274.33999999999997</v>
      </c>
      <c r="M146" s="127">
        <f t="shared" si="24"/>
        <v>0</v>
      </c>
      <c r="N146" s="167">
        <f t="shared" si="25"/>
        <v>0</v>
      </c>
      <c r="O146" s="167">
        <f t="shared" si="26"/>
        <v>0</v>
      </c>
      <c r="P146" s="171" t="s">
        <v>203</v>
      </c>
      <c r="Q146" s="187"/>
      <c r="R146" s="128">
        <v>1</v>
      </c>
      <c r="S146" s="172">
        <v>1</v>
      </c>
      <c r="T146" s="169">
        <v>74</v>
      </c>
      <c r="U146" s="169">
        <v>74</v>
      </c>
      <c r="V146" s="169">
        <v>0</v>
      </c>
      <c r="W146" s="169">
        <v>74</v>
      </c>
      <c r="X146" s="169">
        <f t="shared" si="27"/>
        <v>0</v>
      </c>
    </row>
    <row r="147" spans="1:24" ht="16.149999999999999" customHeight="1" x14ac:dyDescent="0.2">
      <c r="A147" s="170" t="s">
        <v>724</v>
      </c>
      <c r="B147" s="171">
        <v>37595</v>
      </c>
      <c r="C147" s="171" t="s">
        <v>203</v>
      </c>
      <c r="D147" s="165"/>
      <c r="E147" s="165"/>
      <c r="F147" s="165" t="s">
        <v>203</v>
      </c>
      <c r="G147" s="167">
        <v>159.31</v>
      </c>
      <c r="H147" s="167">
        <v>0</v>
      </c>
      <c r="I147" s="167">
        <f t="shared" si="22"/>
        <v>159.31</v>
      </c>
      <c r="J147" s="167">
        <v>159.31</v>
      </c>
      <c r="K147" s="167">
        <v>0</v>
      </c>
      <c r="L147" s="167">
        <f t="shared" si="23"/>
        <v>159.31</v>
      </c>
      <c r="M147" s="127">
        <f t="shared" si="24"/>
        <v>0</v>
      </c>
      <c r="N147" s="167">
        <f t="shared" si="25"/>
        <v>0</v>
      </c>
      <c r="O147" s="167">
        <f t="shared" si="26"/>
        <v>0</v>
      </c>
      <c r="P147" s="171" t="s">
        <v>203</v>
      </c>
      <c r="Q147" s="187"/>
      <c r="R147" s="128">
        <v>1</v>
      </c>
      <c r="S147" s="172">
        <v>1</v>
      </c>
      <c r="T147" s="174">
        <v>45</v>
      </c>
      <c r="U147" s="174">
        <v>45</v>
      </c>
      <c r="V147" s="169">
        <v>0</v>
      </c>
      <c r="W147" s="169">
        <v>45</v>
      </c>
      <c r="X147" s="169">
        <f t="shared" si="27"/>
        <v>0</v>
      </c>
    </row>
    <row r="148" spans="1:24" ht="16.149999999999999" customHeight="1" x14ac:dyDescent="0.2">
      <c r="A148" s="170" t="s">
        <v>725</v>
      </c>
      <c r="B148" s="171">
        <v>37679</v>
      </c>
      <c r="C148" s="171" t="s">
        <v>203</v>
      </c>
      <c r="D148" s="165"/>
      <c r="E148" s="165"/>
      <c r="F148" s="165" t="s">
        <v>203</v>
      </c>
      <c r="G148" s="167">
        <v>398.5</v>
      </c>
      <c r="H148" s="167">
        <v>0</v>
      </c>
      <c r="I148" s="167">
        <f t="shared" si="22"/>
        <v>398.5</v>
      </c>
      <c r="J148" s="167">
        <v>398.5</v>
      </c>
      <c r="K148" s="167">
        <v>0</v>
      </c>
      <c r="L148" s="167">
        <f t="shared" si="23"/>
        <v>398.5</v>
      </c>
      <c r="M148" s="127">
        <f t="shared" si="24"/>
        <v>0</v>
      </c>
      <c r="N148" s="167">
        <f t="shared" si="25"/>
        <v>0</v>
      </c>
      <c r="O148" s="167">
        <f t="shared" si="26"/>
        <v>0</v>
      </c>
      <c r="P148" s="171" t="s">
        <v>203</v>
      </c>
      <c r="Q148" s="187"/>
      <c r="R148" s="128">
        <v>1</v>
      </c>
      <c r="S148" s="172">
        <v>1</v>
      </c>
      <c r="T148" s="174">
        <v>100</v>
      </c>
      <c r="U148" s="174">
        <v>100</v>
      </c>
      <c r="V148" s="169">
        <v>0</v>
      </c>
      <c r="W148" s="169">
        <v>100</v>
      </c>
      <c r="X148" s="169">
        <f t="shared" si="27"/>
        <v>0</v>
      </c>
    </row>
    <row r="149" spans="1:24" ht="16.149999999999999" customHeight="1" x14ac:dyDescent="0.2">
      <c r="A149" s="170" t="s">
        <v>726</v>
      </c>
      <c r="B149" s="171">
        <v>37963</v>
      </c>
      <c r="C149" s="171" t="s">
        <v>203</v>
      </c>
      <c r="D149" s="165"/>
      <c r="E149" s="165"/>
      <c r="F149" s="165" t="s">
        <v>203</v>
      </c>
      <c r="G149" s="167">
        <f>244.3+12.2-0.3</f>
        <v>256.2</v>
      </c>
      <c r="H149" s="167">
        <v>0</v>
      </c>
      <c r="I149" s="167">
        <f t="shared" si="22"/>
        <v>256.2</v>
      </c>
      <c r="J149" s="167">
        <v>256.2</v>
      </c>
      <c r="K149" s="167">
        <v>0</v>
      </c>
      <c r="L149" s="167">
        <f t="shared" si="23"/>
        <v>256.2</v>
      </c>
      <c r="M149" s="127">
        <f t="shared" si="24"/>
        <v>0</v>
      </c>
      <c r="N149" s="167">
        <f t="shared" si="25"/>
        <v>0</v>
      </c>
      <c r="O149" s="167">
        <f t="shared" si="26"/>
        <v>0</v>
      </c>
      <c r="P149" s="171" t="s">
        <v>203</v>
      </c>
      <c r="Q149" s="187"/>
      <c r="R149" s="128">
        <v>1</v>
      </c>
      <c r="S149" s="172">
        <v>1</v>
      </c>
      <c r="T149" s="174">
        <v>61</v>
      </c>
      <c r="U149" s="174">
        <v>61</v>
      </c>
      <c r="V149" s="169">
        <v>0</v>
      </c>
      <c r="W149" s="169">
        <v>61</v>
      </c>
      <c r="X149" s="169">
        <f t="shared" si="27"/>
        <v>0</v>
      </c>
    </row>
    <row r="150" spans="1:24" ht="16.149999999999999" customHeight="1" x14ac:dyDescent="0.2">
      <c r="A150" s="170" t="s">
        <v>216</v>
      </c>
      <c r="B150" s="171">
        <v>35803</v>
      </c>
      <c r="C150" s="171">
        <v>36164</v>
      </c>
      <c r="D150" s="165"/>
      <c r="E150" s="165"/>
      <c r="F150" s="165">
        <v>36377</v>
      </c>
      <c r="G150" s="167">
        <v>214.24</v>
      </c>
      <c r="H150" s="167">
        <v>0</v>
      </c>
      <c r="I150" s="167">
        <f t="shared" si="22"/>
        <v>214.24</v>
      </c>
      <c r="J150" s="167">
        <v>214.24</v>
      </c>
      <c r="K150" s="167">
        <v>0</v>
      </c>
      <c r="L150" s="167">
        <f t="shared" si="23"/>
        <v>214.24</v>
      </c>
      <c r="M150" s="127">
        <f t="shared" si="24"/>
        <v>0</v>
      </c>
      <c r="N150" s="167">
        <f t="shared" si="25"/>
        <v>0</v>
      </c>
      <c r="O150" s="167">
        <f t="shared" si="26"/>
        <v>0</v>
      </c>
      <c r="P150" s="167">
        <v>0</v>
      </c>
      <c r="Q150" s="187"/>
      <c r="R150" s="128">
        <v>0</v>
      </c>
      <c r="S150" s="172">
        <v>0</v>
      </c>
      <c r="T150" s="169">
        <v>327</v>
      </c>
      <c r="U150" s="169">
        <v>327</v>
      </c>
      <c r="V150" s="169">
        <v>0</v>
      </c>
      <c r="W150" s="169">
        <v>0</v>
      </c>
      <c r="X150" s="169">
        <f t="shared" si="27"/>
        <v>327</v>
      </c>
    </row>
    <row r="151" spans="1:24" ht="16.149999999999999" customHeight="1" x14ac:dyDescent="0.2">
      <c r="A151" s="170" t="s">
        <v>727</v>
      </c>
      <c r="B151" s="171" t="s">
        <v>728</v>
      </c>
      <c r="C151" s="171">
        <v>38472</v>
      </c>
      <c r="D151" s="165"/>
      <c r="E151" s="165"/>
      <c r="F151" s="165">
        <v>39200</v>
      </c>
      <c r="G151" s="167">
        <f>210.01+1.26</f>
        <v>211.26999999999998</v>
      </c>
      <c r="H151" s="167">
        <v>0</v>
      </c>
      <c r="I151" s="167">
        <f t="shared" si="22"/>
        <v>211.26999999999998</v>
      </c>
      <c r="J151" s="167">
        <v>211.27</v>
      </c>
      <c r="K151" s="167">
        <v>0</v>
      </c>
      <c r="L151" s="167">
        <f t="shared" si="23"/>
        <v>211.27</v>
      </c>
      <c r="M151" s="127">
        <f t="shared" si="24"/>
        <v>0</v>
      </c>
      <c r="N151" s="167">
        <f t="shared" si="25"/>
        <v>0</v>
      </c>
      <c r="O151" s="167">
        <f t="shared" si="26"/>
        <v>0</v>
      </c>
      <c r="P151" s="167">
        <v>0</v>
      </c>
      <c r="Q151" s="187"/>
      <c r="R151" s="128">
        <v>1</v>
      </c>
      <c r="S151" s="172">
        <v>1</v>
      </c>
      <c r="T151" s="169">
        <v>39</v>
      </c>
      <c r="U151" s="169">
        <v>39</v>
      </c>
      <c r="V151" s="169">
        <v>0</v>
      </c>
      <c r="W151" s="169">
        <v>39</v>
      </c>
      <c r="X151" s="169">
        <f t="shared" si="27"/>
        <v>0</v>
      </c>
    </row>
    <row r="152" spans="1:24" ht="16.149999999999999" customHeight="1" x14ac:dyDescent="0.2">
      <c r="A152" s="170" t="s">
        <v>729</v>
      </c>
      <c r="B152" s="171">
        <v>38456</v>
      </c>
      <c r="C152" s="171">
        <v>38791</v>
      </c>
      <c r="D152" s="165"/>
      <c r="E152" s="165"/>
      <c r="F152" s="165">
        <v>39233</v>
      </c>
      <c r="G152" s="167">
        <v>277.91000000000003</v>
      </c>
      <c r="H152" s="167">
        <v>0</v>
      </c>
      <c r="I152" s="167">
        <f t="shared" si="22"/>
        <v>277.91000000000003</v>
      </c>
      <c r="J152" s="167">
        <v>277.91000000000003</v>
      </c>
      <c r="K152" s="167">
        <v>0</v>
      </c>
      <c r="L152" s="167">
        <f t="shared" si="23"/>
        <v>277.91000000000003</v>
      </c>
      <c r="M152" s="127">
        <f t="shared" si="24"/>
        <v>0</v>
      </c>
      <c r="N152" s="167">
        <f t="shared" si="25"/>
        <v>0</v>
      </c>
      <c r="O152" s="167">
        <f t="shared" si="26"/>
        <v>0</v>
      </c>
      <c r="P152" s="167">
        <f>96.837+38.06666247+38.00627035+16.17871087+19.68351729+29.61025402+18.86286801-36.47797072+1.4098817-196.06909262-4.55974634-4.55974634-16.99</f>
        <v>-1.3913100000131351E-3</v>
      </c>
      <c r="Q152" s="187"/>
      <c r="R152" s="128">
        <v>1</v>
      </c>
      <c r="S152" s="172">
        <v>1</v>
      </c>
      <c r="T152" s="169">
        <v>57</v>
      </c>
      <c r="U152" s="169">
        <v>57</v>
      </c>
      <c r="V152" s="169">
        <v>0</v>
      </c>
      <c r="W152" s="169">
        <v>57</v>
      </c>
      <c r="X152" s="169">
        <f t="shared" si="27"/>
        <v>0</v>
      </c>
    </row>
    <row r="153" spans="1:24" ht="16.149999999999999" customHeight="1" x14ac:dyDescent="0.2">
      <c r="A153" s="170" t="s">
        <v>730</v>
      </c>
      <c r="B153" s="171" t="s">
        <v>731</v>
      </c>
      <c r="C153" s="171" t="s">
        <v>732</v>
      </c>
      <c r="D153" s="165"/>
      <c r="E153" s="165"/>
      <c r="F153" s="165"/>
      <c r="G153" s="167">
        <v>228.98</v>
      </c>
      <c r="H153" s="167">
        <f>910.9-9.59+12.09</f>
        <v>913.4</v>
      </c>
      <c r="I153" s="167">
        <f t="shared" si="22"/>
        <v>1142.3799999999999</v>
      </c>
      <c r="J153" s="167">
        <f>7.88+218.08</f>
        <v>225.96</v>
      </c>
      <c r="K153" s="167">
        <f>15.85+14.76+139.13+85.86+39.16+94.84+53.58+69.61+48.54+13.83+43.19+0.29+23.83+1.25+23.61+19.2+0.45+0.41+25.59+15.32+0.19+123.34+3.45+23.83</f>
        <v>879.11000000000024</v>
      </c>
      <c r="L153" s="167">
        <f t="shared" si="23"/>
        <v>1105.0700000000002</v>
      </c>
      <c r="M153" s="127">
        <f t="shared" si="24"/>
        <v>3.0199999999999818</v>
      </c>
      <c r="N153" s="167">
        <f t="shared" si="25"/>
        <v>34.289999999999736</v>
      </c>
      <c r="O153" s="167">
        <f t="shared" si="26"/>
        <v>37.309999999999718</v>
      </c>
      <c r="P153" s="167">
        <f>7.88+218.08-51.09-60.56-100.3-1.89-3.34-8.78</f>
        <v>0</v>
      </c>
      <c r="Q153" s="187"/>
      <c r="R153" s="128">
        <v>1</v>
      </c>
      <c r="S153" s="172">
        <v>0</v>
      </c>
      <c r="T153" s="169">
        <v>0</v>
      </c>
      <c r="U153" s="169">
        <v>121</v>
      </c>
      <c r="V153" s="169">
        <v>0</v>
      </c>
      <c r="W153" s="169">
        <v>0</v>
      </c>
      <c r="X153" s="169">
        <f t="shared" si="27"/>
        <v>0</v>
      </c>
    </row>
    <row r="154" spans="1:24" ht="16.149999999999999" customHeight="1" x14ac:dyDescent="0.2">
      <c r="A154" s="170" t="s">
        <v>733</v>
      </c>
      <c r="B154" s="171">
        <v>40256</v>
      </c>
      <c r="C154" s="171">
        <v>40680</v>
      </c>
      <c r="D154" s="165"/>
      <c r="E154" s="165"/>
      <c r="F154" s="165"/>
      <c r="G154" s="167">
        <v>1173.6099999999999</v>
      </c>
      <c r="H154" s="167">
        <v>0</v>
      </c>
      <c r="I154" s="167">
        <f t="shared" si="22"/>
        <v>1173.6099999999999</v>
      </c>
      <c r="J154" s="167">
        <f>500+0.52+300+250+21.11+29.72+2.91+47.84</f>
        <v>1152.0999999999999</v>
      </c>
      <c r="K154" s="167">
        <v>0</v>
      </c>
      <c r="L154" s="167">
        <f t="shared" si="23"/>
        <v>1152.0999999999999</v>
      </c>
      <c r="M154" s="127">
        <f t="shared" si="24"/>
        <v>21.509999999999991</v>
      </c>
      <c r="N154" s="167">
        <f t="shared" si="25"/>
        <v>0</v>
      </c>
      <c r="O154" s="167">
        <f t="shared" si="26"/>
        <v>21.509999999999991</v>
      </c>
      <c r="P154" s="167">
        <f>500+0.52+300+250+21.11+29.72-261.88-310.37-514.06+2.91-9.7-8.25+47.84</f>
        <v>47.839999999999968</v>
      </c>
      <c r="Q154" s="187"/>
      <c r="R154" s="128">
        <v>1</v>
      </c>
      <c r="S154" s="128">
        <v>1</v>
      </c>
      <c r="T154" s="169">
        <v>121</v>
      </c>
      <c r="U154" s="169"/>
      <c r="V154" s="169">
        <v>0</v>
      </c>
      <c r="W154" s="169">
        <v>121</v>
      </c>
      <c r="X154" s="169">
        <f t="shared" si="27"/>
        <v>0</v>
      </c>
    </row>
    <row r="155" spans="1:24" ht="16.149999999999999" customHeight="1" x14ac:dyDescent="0.2">
      <c r="A155" s="173" t="s">
        <v>346</v>
      </c>
      <c r="B155" s="171" t="s">
        <v>347</v>
      </c>
      <c r="C155" s="171">
        <v>41027</v>
      </c>
      <c r="D155" s="165"/>
      <c r="E155" s="165"/>
      <c r="F155" s="165" t="s">
        <v>203</v>
      </c>
      <c r="G155" s="167">
        <v>0</v>
      </c>
      <c r="H155" s="167">
        <v>1121.02</v>
      </c>
      <c r="I155" s="167">
        <f t="shared" si="22"/>
        <v>1121.02</v>
      </c>
      <c r="J155" s="167">
        <v>0</v>
      </c>
      <c r="K155" s="167">
        <f>500+434.42+6.56+101.66+0.81+6.5</f>
        <v>1049.95</v>
      </c>
      <c r="L155" s="167">
        <f t="shared" si="23"/>
        <v>1049.95</v>
      </c>
      <c r="M155" s="127">
        <f t="shared" si="24"/>
        <v>0</v>
      </c>
      <c r="N155" s="167">
        <f t="shared" si="25"/>
        <v>71.069999999999936</v>
      </c>
      <c r="O155" s="167">
        <f t="shared" si="26"/>
        <v>71.069999999999936</v>
      </c>
      <c r="P155" s="178" t="s">
        <v>203</v>
      </c>
      <c r="Q155" s="187"/>
      <c r="R155" s="128">
        <v>1</v>
      </c>
      <c r="S155" s="128">
        <v>0</v>
      </c>
      <c r="T155" s="169">
        <v>0</v>
      </c>
      <c r="U155" s="169">
        <v>200</v>
      </c>
      <c r="V155" s="169">
        <v>0</v>
      </c>
      <c r="W155" s="169">
        <v>0</v>
      </c>
      <c r="X155" s="169">
        <f t="shared" si="27"/>
        <v>0</v>
      </c>
    </row>
    <row r="156" spans="1:24" ht="16.149999999999999" customHeight="1" x14ac:dyDescent="0.2">
      <c r="A156" s="170" t="s">
        <v>734</v>
      </c>
      <c r="B156" s="171">
        <v>39720</v>
      </c>
      <c r="C156" s="171" t="s">
        <v>203</v>
      </c>
      <c r="D156" s="165" t="s">
        <v>203</v>
      </c>
      <c r="E156" s="165" t="s">
        <v>203</v>
      </c>
      <c r="F156" s="165" t="s">
        <v>203</v>
      </c>
      <c r="G156" s="167">
        <v>78.77</v>
      </c>
      <c r="H156" s="167">
        <v>0</v>
      </c>
      <c r="I156" s="167">
        <f t="shared" si="22"/>
        <v>78.77</v>
      </c>
      <c r="J156" s="167">
        <v>78.77</v>
      </c>
      <c r="K156" s="167">
        <v>0</v>
      </c>
      <c r="L156" s="167">
        <f t="shared" si="23"/>
        <v>78.77</v>
      </c>
      <c r="M156" s="127">
        <f t="shared" si="24"/>
        <v>0</v>
      </c>
      <c r="N156" s="167">
        <f t="shared" si="25"/>
        <v>0</v>
      </c>
      <c r="O156" s="167">
        <f t="shared" si="26"/>
        <v>0</v>
      </c>
      <c r="P156" s="167">
        <v>0</v>
      </c>
      <c r="Q156" s="187"/>
      <c r="R156" s="128">
        <v>1</v>
      </c>
      <c r="S156" s="172">
        <v>1</v>
      </c>
      <c r="T156" s="169">
        <v>10</v>
      </c>
      <c r="U156" s="169">
        <v>10</v>
      </c>
      <c r="V156" s="169">
        <v>0</v>
      </c>
      <c r="W156" s="169">
        <v>10</v>
      </c>
      <c r="X156" s="169">
        <f t="shared" si="27"/>
        <v>0</v>
      </c>
    </row>
    <row r="157" spans="1:24" ht="16.149999999999999" customHeight="1" x14ac:dyDescent="0.2">
      <c r="A157" s="170" t="s">
        <v>735</v>
      </c>
      <c r="B157" s="177" t="s">
        <v>736</v>
      </c>
      <c r="C157" s="171" t="s">
        <v>203</v>
      </c>
      <c r="D157" s="165" t="s">
        <v>203</v>
      </c>
      <c r="E157" s="165" t="s">
        <v>203</v>
      </c>
      <c r="F157" s="165" t="s">
        <v>203</v>
      </c>
      <c r="G157" s="167">
        <f>46.88+9.37+9.37+202.8+131.85+40.77+30.41</f>
        <v>471.45</v>
      </c>
      <c r="H157" s="167">
        <v>0</v>
      </c>
      <c r="I157" s="167">
        <f t="shared" si="22"/>
        <v>471.45</v>
      </c>
      <c r="J157" s="167">
        <v>471.45</v>
      </c>
      <c r="K157" s="167">
        <v>0</v>
      </c>
      <c r="L157" s="167">
        <f t="shared" si="23"/>
        <v>471.45</v>
      </c>
      <c r="M157" s="127">
        <f t="shared" si="24"/>
        <v>0</v>
      </c>
      <c r="N157" s="167">
        <f t="shared" si="25"/>
        <v>0</v>
      </c>
      <c r="O157" s="167">
        <f t="shared" si="26"/>
        <v>0</v>
      </c>
      <c r="P157" s="171" t="s">
        <v>203</v>
      </c>
      <c r="Q157" s="187"/>
      <c r="R157" s="128">
        <v>1</v>
      </c>
      <c r="S157" s="172">
        <v>1</v>
      </c>
      <c r="T157" s="169">
        <f>7+20+13+4+3</f>
        <v>47</v>
      </c>
      <c r="U157" s="169">
        <f>7+20+13+4+3</f>
        <v>47</v>
      </c>
      <c r="V157" s="169">
        <v>0</v>
      </c>
      <c r="W157" s="169">
        <v>47</v>
      </c>
      <c r="X157" s="169">
        <f t="shared" si="27"/>
        <v>0</v>
      </c>
    </row>
    <row r="158" spans="1:24" ht="16.149999999999999" customHeight="1" x14ac:dyDescent="0.2">
      <c r="A158" s="170" t="s">
        <v>217</v>
      </c>
      <c r="B158" s="171" t="s">
        <v>427</v>
      </c>
      <c r="C158" s="171">
        <v>40377</v>
      </c>
      <c r="D158" s="165" t="s">
        <v>244</v>
      </c>
      <c r="E158" s="165" t="s">
        <v>203</v>
      </c>
      <c r="F158" s="165">
        <v>40684</v>
      </c>
      <c r="G158" s="167">
        <v>0</v>
      </c>
      <c r="H158" s="167">
        <f>1861.33+84.33+23.71+44.43-20.42</f>
        <v>1993.3799999999999</v>
      </c>
      <c r="I158" s="167">
        <f t="shared" si="22"/>
        <v>1993.3799999999999</v>
      </c>
      <c r="J158" s="167">
        <v>0</v>
      </c>
      <c r="K158" s="167">
        <f>500+305.5+352.26+371.09+0.92+100+30.73+2.13+84.33+72.79+9.59+35+44.43+67.09+17.52</f>
        <v>1993.3799999999999</v>
      </c>
      <c r="L158" s="167">
        <f>J158+K158</f>
        <v>1993.3799999999999</v>
      </c>
      <c r="M158" s="127">
        <f t="shared" si="24"/>
        <v>0</v>
      </c>
      <c r="N158" s="167">
        <f t="shared" si="25"/>
        <v>0</v>
      </c>
      <c r="O158" s="167">
        <f t="shared" si="26"/>
        <v>0</v>
      </c>
      <c r="P158" s="171" t="s">
        <v>203</v>
      </c>
      <c r="Q158" s="187"/>
      <c r="R158" s="128" t="s">
        <v>411</v>
      </c>
      <c r="S158" s="172">
        <v>1</v>
      </c>
      <c r="T158" s="169">
        <v>0</v>
      </c>
      <c r="U158" s="181">
        <v>1500</v>
      </c>
      <c r="V158" s="169">
        <v>0</v>
      </c>
      <c r="W158" s="169">
        <v>0</v>
      </c>
      <c r="X158" s="169">
        <f t="shared" si="27"/>
        <v>0</v>
      </c>
    </row>
    <row r="159" spans="1:24" ht="16.149999999999999" customHeight="1" x14ac:dyDescent="0.2">
      <c r="A159" s="170" t="s">
        <v>737</v>
      </c>
      <c r="B159" s="171" t="s">
        <v>738</v>
      </c>
      <c r="C159" s="171" t="s">
        <v>203</v>
      </c>
      <c r="D159" s="165" t="s">
        <v>203</v>
      </c>
      <c r="E159" s="165" t="s">
        <v>203</v>
      </c>
      <c r="F159" s="165" t="s">
        <v>203</v>
      </c>
      <c r="G159" s="167">
        <f>9.97+123.65+78.02+77.3+44.77+21.97+34.68+12.51-11.34+34.07+11.36+66.85+11.34</f>
        <v>515.15</v>
      </c>
      <c r="H159" s="167">
        <v>0</v>
      </c>
      <c r="I159" s="167">
        <f t="shared" si="22"/>
        <v>515.15</v>
      </c>
      <c r="J159" s="167">
        <f>391.53+112.28+11.34</f>
        <v>515.15</v>
      </c>
      <c r="K159" s="167">
        <v>0</v>
      </c>
      <c r="L159" s="167">
        <f t="shared" ref="L159:L206" si="28">J159+K159</f>
        <v>515.15</v>
      </c>
      <c r="M159" s="127">
        <f t="shared" si="24"/>
        <v>0</v>
      </c>
      <c r="N159" s="167">
        <f t="shared" si="25"/>
        <v>0</v>
      </c>
      <c r="O159" s="167">
        <f t="shared" si="26"/>
        <v>0</v>
      </c>
      <c r="P159" s="167">
        <v>0</v>
      </c>
      <c r="Q159" s="187"/>
      <c r="R159" s="128">
        <v>1</v>
      </c>
      <c r="S159" s="172">
        <v>1</v>
      </c>
      <c r="T159" s="169">
        <f>39+6+1</f>
        <v>46</v>
      </c>
      <c r="U159" s="169">
        <f>39+6+1</f>
        <v>46</v>
      </c>
      <c r="V159" s="169">
        <v>0</v>
      </c>
      <c r="W159" s="169">
        <v>46</v>
      </c>
      <c r="X159" s="169">
        <f t="shared" si="27"/>
        <v>0</v>
      </c>
    </row>
    <row r="160" spans="1:24" ht="16.149999999999999" customHeight="1" x14ac:dyDescent="0.2">
      <c r="A160" s="170" t="s">
        <v>739</v>
      </c>
      <c r="B160" s="179" t="s">
        <v>740</v>
      </c>
      <c r="C160" s="171" t="s">
        <v>203</v>
      </c>
      <c r="D160" s="165" t="s">
        <v>203</v>
      </c>
      <c r="E160" s="165" t="s">
        <v>203</v>
      </c>
      <c r="F160" s="165" t="s">
        <v>203</v>
      </c>
      <c r="G160" s="167">
        <f>87.99+39.11+29.33+176.03+19.56+39.12+29.37+19.86+9.77</f>
        <v>450.14000000000004</v>
      </c>
      <c r="H160" s="167">
        <v>0</v>
      </c>
      <c r="I160" s="167">
        <f t="shared" si="22"/>
        <v>450.14000000000004</v>
      </c>
      <c r="J160" s="167">
        <f>420.51+19.86+9.77</f>
        <v>450.14</v>
      </c>
      <c r="K160" s="167">
        <v>0</v>
      </c>
      <c r="L160" s="167">
        <f t="shared" si="28"/>
        <v>450.14</v>
      </c>
      <c r="M160" s="127">
        <f t="shared" si="24"/>
        <v>0</v>
      </c>
      <c r="N160" s="167">
        <f t="shared" si="25"/>
        <v>0</v>
      </c>
      <c r="O160" s="167">
        <f t="shared" si="26"/>
        <v>0</v>
      </c>
      <c r="P160" s="171" t="s">
        <v>203</v>
      </c>
      <c r="Q160" s="187"/>
      <c r="R160" s="128">
        <v>1</v>
      </c>
      <c r="S160" s="172">
        <v>1</v>
      </c>
      <c r="T160" s="169">
        <f>9+4+3+18+2+4+3+2+1</f>
        <v>46</v>
      </c>
      <c r="U160" s="169">
        <f>9+4+3+18+2+4+3+2+1</f>
        <v>46</v>
      </c>
      <c r="V160" s="169">
        <v>0</v>
      </c>
      <c r="W160" s="169">
        <v>46</v>
      </c>
      <c r="X160" s="169">
        <f t="shared" si="27"/>
        <v>0</v>
      </c>
    </row>
    <row r="161" spans="1:24" ht="16.149999999999999" customHeight="1" x14ac:dyDescent="0.2">
      <c r="A161" s="170" t="s">
        <v>741</v>
      </c>
      <c r="B161" s="179" t="s">
        <v>742</v>
      </c>
      <c r="C161" s="171" t="s">
        <v>203</v>
      </c>
      <c r="D161" s="165" t="s">
        <v>203</v>
      </c>
      <c r="E161" s="165" t="s">
        <v>203</v>
      </c>
      <c r="F161" s="165" t="s">
        <v>203</v>
      </c>
      <c r="G161" s="167">
        <f>39.82+39.46</f>
        <v>79.28</v>
      </c>
      <c r="H161" s="167">
        <v>0</v>
      </c>
      <c r="I161" s="167">
        <f t="shared" si="22"/>
        <v>79.28</v>
      </c>
      <c r="J161" s="167">
        <f>39.82+39.46</f>
        <v>79.28</v>
      </c>
      <c r="K161" s="167">
        <v>0</v>
      </c>
      <c r="L161" s="167">
        <f t="shared" si="28"/>
        <v>79.28</v>
      </c>
      <c r="M161" s="127">
        <f t="shared" si="24"/>
        <v>0</v>
      </c>
      <c r="N161" s="167">
        <f t="shared" si="25"/>
        <v>0</v>
      </c>
      <c r="O161" s="167">
        <f t="shared" si="26"/>
        <v>0</v>
      </c>
      <c r="P161" s="171" t="s">
        <v>203</v>
      </c>
      <c r="Q161" s="187"/>
      <c r="R161" s="128">
        <v>1</v>
      </c>
      <c r="S161" s="172">
        <v>1</v>
      </c>
      <c r="T161" s="169">
        <f>4+4</f>
        <v>8</v>
      </c>
      <c r="U161" s="169">
        <f>4+4</f>
        <v>8</v>
      </c>
      <c r="V161" s="169">
        <v>0</v>
      </c>
      <c r="W161" s="169">
        <v>8</v>
      </c>
      <c r="X161" s="169">
        <f t="shared" si="27"/>
        <v>0</v>
      </c>
    </row>
    <row r="162" spans="1:24" ht="16.149999999999999" customHeight="1" x14ac:dyDescent="0.2">
      <c r="A162" s="170" t="s">
        <v>743</v>
      </c>
      <c r="B162" s="179" t="s">
        <v>744</v>
      </c>
      <c r="C162" s="171" t="s">
        <v>203</v>
      </c>
      <c r="D162" s="165" t="s">
        <v>203</v>
      </c>
      <c r="E162" s="165" t="s">
        <v>203</v>
      </c>
      <c r="F162" s="165" t="s">
        <v>203</v>
      </c>
      <c r="G162" s="167">
        <v>115.74</v>
      </c>
      <c r="H162" s="167">
        <v>0</v>
      </c>
      <c r="I162" s="167">
        <f t="shared" si="22"/>
        <v>115.74</v>
      </c>
      <c r="J162" s="167">
        <v>115.74</v>
      </c>
      <c r="K162" s="167">
        <v>0</v>
      </c>
      <c r="L162" s="167">
        <f t="shared" si="28"/>
        <v>115.74</v>
      </c>
      <c r="M162" s="127">
        <f t="shared" si="24"/>
        <v>0</v>
      </c>
      <c r="N162" s="167">
        <f t="shared" si="25"/>
        <v>0</v>
      </c>
      <c r="O162" s="167">
        <f t="shared" si="26"/>
        <v>0</v>
      </c>
      <c r="P162" s="171" t="s">
        <v>203</v>
      </c>
      <c r="Q162" s="187"/>
      <c r="R162" s="128">
        <v>1</v>
      </c>
      <c r="S162" s="172">
        <v>1</v>
      </c>
      <c r="T162" s="169">
        <v>11</v>
      </c>
      <c r="U162" s="169">
        <v>11</v>
      </c>
      <c r="V162" s="169">
        <v>0</v>
      </c>
      <c r="W162" s="169">
        <v>11</v>
      </c>
      <c r="X162" s="169">
        <f t="shared" si="27"/>
        <v>0</v>
      </c>
    </row>
    <row r="163" spans="1:24" ht="16.149999999999999" customHeight="1" x14ac:dyDescent="0.2">
      <c r="A163" s="170" t="s">
        <v>745</v>
      </c>
      <c r="B163" s="179" t="s">
        <v>746</v>
      </c>
      <c r="C163" s="171" t="s">
        <v>203</v>
      </c>
      <c r="D163" s="165" t="s">
        <v>203</v>
      </c>
      <c r="E163" s="165" t="s">
        <v>203</v>
      </c>
      <c r="F163" s="165" t="s">
        <v>203</v>
      </c>
      <c r="G163" s="167">
        <f>35.86+36.59+56.03</f>
        <v>128.48000000000002</v>
      </c>
      <c r="H163" s="167">
        <v>0</v>
      </c>
      <c r="I163" s="167">
        <f t="shared" si="22"/>
        <v>128.48000000000002</v>
      </c>
      <c r="J163" s="167">
        <f>35.86+36.59+37.33+18.7</f>
        <v>128.47999999999999</v>
      </c>
      <c r="K163" s="167">
        <v>0</v>
      </c>
      <c r="L163" s="167">
        <f t="shared" si="28"/>
        <v>128.47999999999999</v>
      </c>
      <c r="M163" s="127">
        <f t="shared" si="24"/>
        <v>0</v>
      </c>
      <c r="N163" s="167">
        <f t="shared" si="25"/>
        <v>0</v>
      </c>
      <c r="O163" s="167">
        <f t="shared" si="26"/>
        <v>0</v>
      </c>
      <c r="P163" s="171" t="s">
        <v>203</v>
      </c>
      <c r="Q163" s="187"/>
      <c r="R163" s="128">
        <v>1</v>
      </c>
      <c r="S163" s="172">
        <v>1</v>
      </c>
      <c r="T163" s="169">
        <f>4+4+6</f>
        <v>14</v>
      </c>
      <c r="U163" s="169">
        <f>4+4+6</f>
        <v>14</v>
      </c>
      <c r="V163" s="169">
        <v>0</v>
      </c>
      <c r="W163" s="169">
        <v>14</v>
      </c>
      <c r="X163" s="169">
        <f t="shared" si="27"/>
        <v>0</v>
      </c>
    </row>
    <row r="164" spans="1:24" ht="16.149999999999999" customHeight="1" x14ac:dyDescent="0.2">
      <c r="A164" s="170" t="s">
        <v>747</v>
      </c>
      <c r="B164" s="179" t="s">
        <v>748</v>
      </c>
      <c r="C164" s="171" t="s">
        <v>203</v>
      </c>
      <c r="D164" s="165" t="s">
        <v>203</v>
      </c>
      <c r="E164" s="165" t="s">
        <v>203</v>
      </c>
      <c r="F164" s="165" t="s">
        <v>203</v>
      </c>
      <c r="G164" s="167">
        <f>191.02+21.26</f>
        <v>212.28</v>
      </c>
      <c r="H164" s="167">
        <v>0</v>
      </c>
      <c r="I164" s="167">
        <f t="shared" si="22"/>
        <v>212.28</v>
      </c>
      <c r="J164" s="167">
        <v>212.28</v>
      </c>
      <c r="K164" s="167">
        <v>0</v>
      </c>
      <c r="L164" s="167">
        <f t="shared" si="28"/>
        <v>212.28</v>
      </c>
      <c r="M164" s="127">
        <f t="shared" si="24"/>
        <v>0</v>
      </c>
      <c r="N164" s="167">
        <f t="shared" si="25"/>
        <v>0</v>
      </c>
      <c r="O164" s="167">
        <f t="shared" si="26"/>
        <v>0</v>
      </c>
      <c r="P164" s="171" t="s">
        <v>203</v>
      </c>
      <c r="Q164" s="187"/>
      <c r="R164" s="128">
        <v>1</v>
      </c>
      <c r="S164" s="172">
        <v>1</v>
      </c>
      <c r="T164" s="169">
        <f>18+2</f>
        <v>20</v>
      </c>
      <c r="U164" s="169">
        <f>18+2</f>
        <v>20</v>
      </c>
      <c r="V164" s="169">
        <v>0</v>
      </c>
      <c r="W164" s="169">
        <v>20</v>
      </c>
      <c r="X164" s="169">
        <f t="shared" si="27"/>
        <v>0</v>
      </c>
    </row>
    <row r="165" spans="1:24" ht="16.149999999999999" customHeight="1" x14ac:dyDescent="0.2">
      <c r="A165" s="170" t="s">
        <v>749</v>
      </c>
      <c r="B165" s="179" t="s">
        <v>750</v>
      </c>
      <c r="C165" s="171" t="s">
        <v>203</v>
      </c>
      <c r="D165" s="165" t="s">
        <v>203</v>
      </c>
      <c r="E165" s="165" t="s">
        <v>203</v>
      </c>
      <c r="F165" s="165" t="s">
        <v>203</v>
      </c>
      <c r="G165" s="167">
        <f>177.21+39.38+19.52+185.89+228.15+48.95+9.93</f>
        <v>709.03</v>
      </c>
      <c r="H165" s="167">
        <v>0</v>
      </c>
      <c r="I165" s="167">
        <f t="shared" si="22"/>
        <v>709.03</v>
      </c>
      <c r="J165" s="167">
        <v>709.03</v>
      </c>
      <c r="K165" s="167">
        <v>0</v>
      </c>
      <c r="L165" s="167">
        <f t="shared" si="28"/>
        <v>709.03</v>
      </c>
      <c r="M165" s="127">
        <f t="shared" si="24"/>
        <v>0</v>
      </c>
      <c r="N165" s="167">
        <f t="shared" si="25"/>
        <v>0</v>
      </c>
      <c r="O165" s="167">
        <f t="shared" si="26"/>
        <v>0</v>
      </c>
      <c r="P165" s="171" t="s">
        <v>203</v>
      </c>
      <c r="Q165" s="187"/>
      <c r="R165" s="128">
        <v>1</v>
      </c>
      <c r="S165" s="172">
        <v>1</v>
      </c>
      <c r="T165" s="169">
        <f>18+4+2+19+23+5+1</f>
        <v>72</v>
      </c>
      <c r="U165" s="169">
        <f>18+4+2+19+23+5+1</f>
        <v>72</v>
      </c>
      <c r="V165" s="169">
        <v>0</v>
      </c>
      <c r="W165" s="169">
        <v>72</v>
      </c>
      <c r="X165" s="169">
        <f t="shared" si="27"/>
        <v>0</v>
      </c>
    </row>
    <row r="166" spans="1:24" ht="16.149999999999999" customHeight="1" x14ac:dyDescent="0.2">
      <c r="A166" s="170" t="s">
        <v>751</v>
      </c>
      <c r="B166" s="179" t="s">
        <v>752</v>
      </c>
      <c r="C166" s="171" t="s">
        <v>203</v>
      </c>
      <c r="D166" s="165" t="s">
        <v>203</v>
      </c>
      <c r="E166" s="165" t="s">
        <v>203</v>
      </c>
      <c r="F166" s="165" t="s">
        <v>203</v>
      </c>
      <c r="G166" s="167">
        <v>96.17</v>
      </c>
      <c r="H166" s="167">
        <v>0</v>
      </c>
      <c r="I166" s="167">
        <f t="shared" si="22"/>
        <v>96.17</v>
      </c>
      <c r="J166" s="167">
        <v>96.17</v>
      </c>
      <c r="K166" s="167">
        <v>0</v>
      </c>
      <c r="L166" s="167">
        <f t="shared" si="28"/>
        <v>96.17</v>
      </c>
      <c r="M166" s="127">
        <f t="shared" si="24"/>
        <v>0</v>
      </c>
      <c r="N166" s="167">
        <f t="shared" si="25"/>
        <v>0</v>
      </c>
      <c r="O166" s="167">
        <f t="shared" si="26"/>
        <v>0</v>
      </c>
      <c r="P166" s="171" t="s">
        <v>203</v>
      </c>
      <c r="Q166" s="187"/>
      <c r="R166" s="128">
        <v>1</v>
      </c>
      <c r="S166" s="172">
        <v>1</v>
      </c>
      <c r="T166" s="169">
        <v>8</v>
      </c>
      <c r="U166" s="169">
        <v>8</v>
      </c>
      <c r="V166" s="169">
        <v>0</v>
      </c>
      <c r="W166" s="169">
        <v>8</v>
      </c>
      <c r="X166" s="169">
        <f t="shared" si="27"/>
        <v>0</v>
      </c>
    </row>
    <row r="167" spans="1:24" ht="16.149999999999999" customHeight="1" x14ac:dyDescent="0.2">
      <c r="A167" s="170" t="s">
        <v>753</v>
      </c>
      <c r="B167" s="179" t="s">
        <v>754</v>
      </c>
      <c r="C167" s="171" t="s">
        <v>203</v>
      </c>
      <c r="D167" s="165" t="s">
        <v>203</v>
      </c>
      <c r="E167" s="165" t="s">
        <v>203</v>
      </c>
      <c r="F167" s="165" t="s">
        <v>203</v>
      </c>
      <c r="G167" s="167">
        <f>43.12+53.79+32.48</f>
        <v>129.38999999999999</v>
      </c>
      <c r="H167" s="167">
        <v>0</v>
      </c>
      <c r="I167" s="167">
        <f t="shared" si="22"/>
        <v>129.38999999999999</v>
      </c>
      <c r="J167" s="167">
        <v>129.38999999999999</v>
      </c>
      <c r="K167" s="167">
        <v>0</v>
      </c>
      <c r="L167" s="167">
        <f t="shared" si="28"/>
        <v>129.38999999999999</v>
      </c>
      <c r="M167" s="127">
        <f t="shared" si="24"/>
        <v>0</v>
      </c>
      <c r="N167" s="167">
        <f t="shared" si="25"/>
        <v>0</v>
      </c>
      <c r="O167" s="167">
        <f t="shared" si="26"/>
        <v>0</v>
      </c>
      <c r="P167" s="171" t="s">
        <v>203</v>
      </c>
      <c r="Q167" s="187"/>
      <c r="R167" s="128">
        <v>1</v>
      </c>
      <c r="S167" s="172">
        <v>1</v>
      </c>
      <c r="T167" s="169">
        <f>4+5+3</f>
        <v>12</v>
      </c>
      <c r="U167" s="169">
        <f>4+5+3</f>
        <v>12</v>
      </c>
      <c r="V167" s="169">
        <v>0</v>
      </c>
      <c r="W167" s="169">
        <v>12</v>
      </c>
      <c r="X167" s="169">
        <f t="shared" si="27"/>
        <v>0</v>
      </c>
    </row>
    <row r="168" spans="1:24" ht="16.149999999999999" customHeight="1" x14ac:dyDescent="0.2">
      <c r="A168" s="170" t="s">
        <v>755</v>
      </c>
      <c r="B168" s="179" t="s">
        <v>756</v>
      </c>
      <c r="C168" s="171">
        <v>40638</v>
      </c>
      <c r="D168" s="165"/>
      <c r="E168" s="165"/>
      <c r="F168" s="165"/>
      <c r="G168" s="167">
        <v>697.98</v>
      </c>
      <c r="H168" s="167">
        <v>0</v>
      </c>
      <c r="I168" s="167">
        <f t="shared" si="22"/>
        <v>697.98</v>
      </c>
      <c r="J168" s="167">
        <f>324.25+10.45+306.26+31.34+25.68</f>
        <v>697.98</v>
      </c>
      <c r="K168" s="167">
        <v>0</v>
      </c>
      <c r="L168" s="167">
        <f t="shared" si="28"/>
        <v>697.98</v>
      </c>
      <c r="M168" s="127">
        <f t="shared" si="24"/>
        <v>0</v>
      </c>
      <c r="N168" s="167">
        <f t="shared" si="25"/>
        <v>0</v>
      </c>
      <c r="O168" s="167">
        <f t="shared" si="26"/>
        <v>0</v>
      </c>
      <c r="P168" s="171" t="s">
        <v>203</v>
      </c>
      <c r="Q168" s="187"/>
      <c r="R168" s="128">
        <v>1</v>
      </c>
      <c r="S168" s="172">
        <v>1</v>
      </c>
      <c r="T168" s="169">
        <v>64</v>
      </c>
      <c r="U168" s="169">
        <v>64</v>
      </c>
      <c r="V168" s="169">
        <v>0</v>
      </c>
      <c r="W168" s="169">
        <v>64</v>
      </c>
      <c r="X168" s="169">
        <f t="shared" si="27"/>
        <v>0</v>
      </c>
    </row>
    <row r="169" spans="1:24" ht="16.149999999999999" customHeight="1" x14ac:dyDescent="0.2">
      <c r="A169" s="170" t="s">
        <v>757</v>
      </c>
      <c r="B169" s="179" t="s">
        <v>758</v>
      </c>
      <c r="C169" s="171" t="s">
        <v>203</v>
      </c>
      <c r="D169" s="165" t="s">
        <v>203</v>
      </c>
      <c r="E169" s="165" t="s">
        <v>203</v>
      </c>
      <c r="F169" s="165" t="s">
        <v>203</v>
      </c>
      <c r="G169" s="167">
        <v>170.23</v>
      </c>
      <c r="H169" s="167">
        <v>0</v>
      </c>
      <c r="I169" s="167">
        <f t="shared" si="22"/>
        <v>170.23</v>
      </c>
      <c r="J169" s="167">
        <v>170.23</v>
      </c>
      <c r="K169" s="167">
        <v>0</v>
      </c>
      <c r="L169" s="167">
        <f t="shared" si="28"/>
        <v>170.23</v>
      </c>
      <c r="M169" s="127">
        <f t="shared" si="24"/>
        <v>0</v>
      </c>
      <c r="N169" s="167">
        <f t="shared" si="25"/>
        <v>0</v>
      </c>
      <c r="O169" s="167">
        <f t="shared" si="26"/>
        <v>0</v>
      </c>
      <c r="P169" s="171" t="s">
        <v>203</v>
      </c>
      <c r="Q169" s="187"/>
      <c r="R169" s="128">
        <v>1</v>
      </c>
      <c r="S169" s="172">
        <v>1</v>
      </c>
      <c r="T169" s="169">
        <v>14</v>
      </c>
      <c r="U169" s="169">
        <v>14</v>
      </c>
      <c r="V169" s="169">
        <v>0</v>
      </c>
      <c r="W169" s="169">
        <v>14</v>
      </c>
      <c r="X169" s="169">
        <f t="shared" si="27"/>
        <v>0</v>
      </c>
    </row>
    <row r="170" spans="1:24" ht="16.149999999999999" customHeight="1" x14ac:dyDescent="0.2">
      <c r="A170" s="170" t="s">
        <v>759</v>
      </c>
      <c r="B170" s="179" t="s">
        <v>760</v>
      </c>
      <c r="C170" s="171">
        <v>41135</v>
      </c>
      <c r="D170" s="165"/>
      <c r="E170" s="165"/>
      <c r="F170" s="165"/>
      <c r="G170" s="167">
        <f>3490.84+158.85-122.89</f>
        <v>3526.8</v>
      </c>
      <c r="H170" s="167">
        <v>0</v>
      </c>
      <c r="I170" s="167">
        <f t="shared" si="22"/>
        <v>3526.8</v>
      </c>
      <c r="J170" s="167">
        <f>479.36+500+500+500+500+5.77+205+295+35.24+47.48+158.85+300.1</f>
        <v>3526.7999999999997</v>
      </c>
      <c r="K170" s="167">
        <v>0</v>
      </c>
      <c r="L170" s="167">
        <f t="shared" si="28"/>
        <v>3526.7999999999997</v>
      </c>
      <c r="M170" s="127">
        <f t="shared" si="24"/>
        <v>0</v>
      </c>
      <c r="N170" s="167">
        <f t="shared" si="25"/>
        <v>0</v>
      </c>
      <c r="O170" s="167">
        <f t="shared" si="26"/>
        <v>0</v>
      </c>
      <c r="P170" s="167">
        <f>479.36+500+500+500+500+5.77+205+295+35.24+47.48+158.85+300.1-2601.63-241.84-13.52-30.04-76.61-3.64-12.88-45.06-15.02-15.02-180.24-150.2-15.02-69.8-5.3-15.03-9.42-26.53</f>
        <v>-3.1263880373444408E-13</v>
      </c>
      <c r="Q170" s="187"/>
      <c r="R170" s="128">
        <v>1</v>
      </c>
      <c r="S170" s="128">
        <v>1</v>
      </c>
      <c r="T170" s="169">
        <v>231</v>
      </c>
      <c r="U170" s="169">
        <v>231</v>
      </c>
      <c r="V170" s="169">
        <v>0</v>
      </c>
      <c r="W170" s="169">
        <v>231</v>
      </c>
      <c r="X170" s="169">
        <f t="shared" si="27"/>
        <v>0</v>
      </c>
    </row>
    <row r="171" spans="1:24" ht="16.149999999999999" customHeight="1" x14ac:dyDescent="0.2">
      <c r="A171" s="170" t="s">
        <v>761</v>
      </c>
      <c r="B171" s="179" t="s">
        <v>762</v>
      </c>
      <c r="C171" s="171" t="s">
        <v>203</v>
      </c>
      <c r="D171" s="165" t="s">
        <v>203</v>
      </c>
      <c r="E171" s="165" t="s">
        <v>203</v>
      </c>
      <c r="F171" s="165" t="s">
        <v>203</v>
      </c>
      <c r="G171" s="167">
        <f>158.81+11.42</f>
        <v>170.23</v>
      </c>
      <c r="H171" s="167">
        <v>0</v>
      </c>
      <c r="I171" s="167">
        <f t="shared" si="22"/>
        <v>170.23</v>
      </c>
      <c r="J171" s="167">
        <f>158.81+11.42</f>
        <v>170.23</v>
      </c>
      <c r="K171" s="167">
        <v>0</v>
      </c>
      <c r="L171" s="167">
        <f t="shared" si="28"/>
        <v>170.23</v>
      </c>
      <c r="M171" s="127">
        <f t="shared" si="24"/>
        <v>0</v>
      </c>
      <c r="N171" s="167">
        <f t="shared" si="25"/>
        <v>0</v>
      </c>
      <c r="O171" s="167">
        <f t="shared" si="26"/>
        <v>0</v>
      </c>
      <c r="P171" s="171" t="s">
        <v>203</v>
      </c>
      <c r="Q171" s="187"/>
      <c r="R171" s="128">
        <v>1</v>
      </c>
      <c r="S171" s="172">
        <v>1</v>
      </c>
      <c r="T171" s="169">
        <f>14+1</f>
        <v>15</v>
      </c>
      <c r="U171" s="169">
        <f>14+1</f>
        <v>15</v>
      </c>
      <c r="V171" s="169">
        <v>0</v>
      </c>
      <c r="W171" s="169">
        <v>15</v>
      </c>
      <c r="X171" s="169">
        <f t="shared" si="27"/>
        <v>0</v>
      </c>
    </row>
    <row r="172" spans="1:24" ht="16.149999999999999" customHeight="1" x14ac:dyDescent="0.2">
      <c r="A172" s="170" t="s">
        <v>763</v>
      </c>
      <c r="B172" s="179" t="s">
        <v>764</v>
      </c>
      <c r="C172" s="171" t="s">
        <v>203</v>
      </c>
      <c r="D172" s="165" t="s">
        <v>203</v>
      </c>
      <c r="E172" s="165" t="s">
        <v>203</v>
      </c>
      <c r="F172" s="165" t="s">
        <v>203</v>
      </c>
      <c r="G172" s="167">
        <f>113.73+10.19</f>
        <v>123.92</v>
      </c>
      <c r="H172" s="167">
        <v>0</v>
      </c>
      <c r="I172" s="167">
        <f t="shared" si="22"/>
        <v>123.92</v>
      </c>
      <c r="J172" s="167">
        <v>123.92</v>
      </c>
      <c r="K172" s="167">
        <v>0</v>
      </c>
      <c r="L172" s="167">
        <f t="shared" si="28"/>
        <v>123.92</v>
      </c>
      <c r="M172" s="127">
        <f t="shared" si="24"/>
        <v>0</v>
      </c>
      <c r="N172" s="167">
        <f t="shared" si="25"/>
        <v>0</v>
      </c>
      <c r="O172" s="167">
        <f t="shared" si="26"/>
        <v>0</v>
      </c>
      <c r="P172" s="171" t="s">
        <v>203</v>
      </c>
      <c r="Q172" s="187"/>
      <c r="R172" s="128">
        <v>1</v>
      </c>
      <c r="S172" s="172">
        <v>1</v>
      </c>
      <c r="T172" s="169">
        <f>11+1</f>
        <v>12</v>
      </c>
      <c r="U172" s="169">
        <f>11+1</f>
        <v>12</v>
      </c>
      <c r="V172" s="169">
        <v>0</v>
      </c>
      <c r="W172" s="169">
        <v>12</v>
      </c>
      <c r="X172" s="169">
        <f t="shared" si="27"/>
        <v>0</v>
      </c>
    </row>
    <row r="173" spans="1:24" ht="16.149999999999999" customHeight="1" x14ac:dyDescent="0.2">
      <c r="A173" s="170" t="s">
        <v>765</v>
      </c>
      <c r="B173" s="179" t="s">
        <v>766</v>
      </c>
      <c r="C173" s="171" t="s">
        <v>203</v>
      </c>
      <c r="D173" s="165" t="s">
        <v>203</v>
      </c>
      <c r="E173" s="165" t="s">
        <v>203</v>
      </c>
      <c r="F173" s="165" t="s">
        <v>203</v>
      </c>
      <c r="G173" s="167">
        <f>440.17+592.14+76.15-0.06</f>
        <v>1108.4000000000001</v>
      </c>
      <c r="H173" s="167">
        <v>0</v>
      </c>
      <c r="I173" s="167">
        <f t="shared" si="22"/>
        <v>1108.4000000000001</v>
      </c>
      <c r="J173" s="167">
        <f>1032.25+76.15</f>
        <v>1108.4000000000001</v>
      </c>
      <c r="K173" s="167">
        <v>0</v>
      </c>
      <c r="L173" s="167">
        <f t="shared" si="28"/>
        <v>1108.4000000000001</v>
      </c>
      <c r="M173" s="127">
        <f t="shared" si="24"/>
        <v>0</v>
      </c>
      <c r="N173" s="167">
        <f t="shared" si="25"/>
        <v>0</v>
      </c>
      <c r="O173" s="167">
        <f t="shared" si="26"/>
        <v>0</v>
      </c>
      <c r="P173" s="171" t="s">
        <v>203</v>
      </c>
      <c r="Q173" s="187"/>
      <c r="R173" s="128">
        <v>1</v>
      </c>
      <c r="S173" s="172">
        <v>1</v>
      </c>
      <c r="T173" s="169">
        <f>35+47+6</f>
        <v>88</v>
      </c>
      <c r="U173" s="169">
        <f>35+47+6</f>
        <v>88</v>
      </c>
      <c r="V173" s="169">
        <v>0</v>
      </c>
      <c r="W173" s="169">
        <v>88</v>
      </c>
      <c r="X173" s="169">
        <f t="shared" si="27"/>
        <v>0</v>
      </c>
    </row>
    <row r="174" spans="1:24" ht="16.149999999999999" customHeight="1" x14ac:dyDescent="0.2">
      <c r="A174" s="173" t="s">
        <v>767</v>
      </c>
      <c r="B174" s="179" t="s">
        <v>1260</v>
      </c>
      <c r="C174" s="171">
        <v>44752</v>
      </c>
      <c r="D174" s="165"/>
      <c r="E174" s="165"/>
      <c r="F174" s="165" t="s">
        <v>1261</v>
      </c>
      <c r="G174" s="167">
        <v>0</v>
      </c>
      <c r="H174" s="167">
        <f>1090+33.45+2.73+773.19+118.27+40.21+220.18</f>
        <v>2278.0299999999997</v>
      </c>
      <c r="I174" s="167">
        <f t="shared" ref="I174:I194" si="29">G174+H174</f>
        <v>2278.0299999999997</v>
      </c>
      <c r="J174" s="167">
        <v>0</v>
      </c>
      <c r="K174" s="167">
        <f>13.07+17.61+18.9+5.8+4.02+1.5+1.55+2.13+1.92+0.38+48.69+68.81+1.33+77.28+1.18+89.38+3.95+56.92+2.13+91.17+91.54+1.33+130.28+115.35+1.93+1.88+64.13+35.6+110.97+2.11+104.46</f>
        <v>1167.3</v>
      </c>
      <c r="L174" s="167">
        <f t="shared" si="28"/>
        <v>1167.3</v>
      </c>
      <c r="M174" s="127">
        <f t="shared" si="24"/>
        <v>0</v>
      </c>
      <c r="N174" s="167">
        <f t="shared" si="25"/>
        <v>1110.7299999999998</v>
      </c>
      <c r="O174" s="167">
        <f t="shared" ref="O174:O191" si="30">M174+N174</f>
        <v>1110.7299999999998</v>
      </c>
      <c r="P174" s="171" t="s">
        <v>203</v>
      </c>
      <c r="Q174" s="187"/>
      <c r="R174" s="128">
        <v>0.57909999999999995</v>
      </c>
      <c r="S174" s="172">
        <v>0</v>
      </c>
      <c r="T174" s="169">
        <v>0</v>
      </c>
      <c r="U174" s="169">
        <v>800</v>
      </c>
      <c r="V174" s="169">
        <v>0</v>
      </c>
      <c r="W174" s="169">
        <v>0</v>
      </c>
      <c r="X174" s="169">
        <f t="shared" si="27"/>
        <v>0</v>
      </c>
    </row>
    <row r="175" spans="1:24" ht="16.149999999999999" customHeight="1" x14ac:dyDescent="0.2">
      <c r="A175" s="170" t="s">
        <v>768</v>
      </c>
      <c r="B175" s="179" t="s">
        <v>645</v>
      </c>
      <c r="C175" s="171" t="s">
        <v>203</v>
      </c>
      <c r="D175" s="165" t="s">
        <v>203</v>
      </c>
      <c r="E175" s="165" t="s">
        <v>203</v>
      </c>
      <c r="F175" s="165" t="s">
        <v>203</v>
      </c>
      <c r="G175" s="167">
        <v>161.47999999999999</v>
      </c>
      <c r="H175" s="167">
        <v>0</v>
      </c>
      <c r="I175" s="167">
        <f t="shared" si="29"/>
        <v>161.47999999999999</v>
      </c>
      <c r="J175" s="167">
        <v>161.47999999999999</v>
      </c>
      <c r="K175" s="167">
        <v>0</v>
      </c>
      <c r="L175" s="167">
        <f t="shared" si="28"/>
        <v>161.47999999999999</v>
      </c>
      <c r="M175" s="127">
        <f t="shared" si="24"/>
        <v>0</v>
      </c>
      <c r="N175" s="167">
        <f t="shared" si="25"/>
        <v>0</v>
      </c>
      <c r="O175" s="167">
        <f t="shared" si="30"/>
        <v>0</v>
      </c>
      <c r="P175" s="171" t="s">
        <v>203</v>
      </c>
      <c r="Q175" s="187"/>
      <c r="R175" s="128">
        <v>1</v>
      </c>
      <c r="S175" s="172">
        <v>1</v>
      </c>
      <c r="T175" s="169">
        <v>15</v>
      </c>
      <c r="U175" s="169">
        <v>15</v>
      </c>
      <c r="V175" s="169">
        <v>0</v>
      </c>
      <c r="W175" s="169">
        <v>15</v>
      </c>
      <c r="X175" s="169">
        <f t="shared" si="27"/>
        <v>0</v>
      </c>
    </row>
    <row r="176" spans="1:24" ht="16.149999999999999" customHeight="1" x14ac:dyDescent="0.2">
      <c r="A176" s="170" t="s">
        <v>769</v>
      </c>
      <c r="B176" s="179" t="s">
        <v>770</v>
      </c>
      <c r="C176" s="171" t="s">
        <v>203</v>
      </c>
      <c r="D176" s="165" t="s">
        <v>203</v>
      </c>
      <c r="E176" s="165" t="s">
        <v>203</v>
      </c>
      <c r="F176" s="165" t="s">
        <v>203</v>
      </c>
      <c r="G176" s="167">
        <f>78.07+127.11-13.27+51.76+50.01+57.17+12.39+117.92+16.15</f>
        <v>497.31</v>
      </c>
      <c r="H176" s="167">
        <v>0</v>
      </c>
      <c r="I176" s="167">
        <f t="shared" si="29"/>
        <v>497.31</v>
      </c>
      <c r="J176" s="167">
        <f>350.85+12.39+88.86+29.06+16.15</f>
        <v>497.31</v>
      </c>
      <c r="K176" s="167">
        <v>0</v>
      </c>
      <c r="L176" s="167">
        <f t="shared" si="28"/>
        <v>497.31</v>
      </c>
      <c r="M176" s="127">
        <f t="shared" si="24"/>
        <v>0</v>
      </c>
      <c r="N176" s="167">
        <f t="shared" si="25"/>
        <v>0</v>
      </c>
      <c r="O176" s="167">
        <f t="shared" si="30"/>
        <v>0</v>
      </c>
      <c r="P176" s="171" t="s">
        <v>203</v>
      </c>
      <c r="Q176" s="187"/>
      <c r="R176" s="128">
        <v>1</v>
      </c>
      <c r="S176" s="172">
        <v>1</v>
      </c>
      <c r="T176" s="169">
        <f>6-1+4+10+4+4+1+8+1</f>
        <v>37</v>
      </c>
      <c r="U176" s="169">
        <f>6-1+4+10+4+4+1+8+1</f>
        <v>37</v>
      </c>
      <c r="V176" s="169">
        <v>0</v>
      </c>
      <c r="W176" s="169">
        <v>37</v>
      </c>
      <c r="X176" s="169">
        <f t="shared" si="27"/>
        <v>0</v>
      </c>
    </row>
    <row r="177" spans="1:24" ht="16.149999999999999" customHeight="1" x14ac:dyDescent="0.2">
      <c r="A177" s="170" t="s">
        <v>771</v>
      </c>
      <c r="B177" s="179" t="s">
        <v>772</v>
      </c>
      <c r="C177" s="171" t="s">
        <v>203</v>
      </c>
      <c r="D177" s="165" t="s">
        <v>203</v>
      </c>
      <c r="E177" s="165" t="s">
        <v>203</v>
      </c>
      <c r="F177" s="165" t="s">
        <v>203</v>
      </c>
      <c r="G177" s="167">
        <f>216.76+531.75+83.1+33.94</f>
        <v>865.55</v>
      </c>
      <c r="H177" s="167">
        <v>0</v>
      </c>
      <c r="I177" s="167">
        <f t="shared" si="29"/>
        <v>865.55</v>
      </c>
      <c r="J177" s="167">
        <f>216.76+485.72+93.93+23.85+11.35+33.94</f>
        <v>865.55000000000018</v>
      </c>
      <c r="K177" s="167">
        <v>0</v>
      </c>
      <c r="L177" s="167">
        <f t="shared" si="28"/>
        <v>865.55000000000018</v>
      </c>
      <c r="M177" s="127">
        <f t="shared" si="24"/>
        <v>0</v>
      </c>
      <c r="N177" s="167">
        <f t="shared" si="25"/>
        <v>0</v>
      </c>
      <c r="O177" s="167">
        <f t="shared" si="30"/>
        <v>0</v>
      </c>
      <c r="P177" s="171" t="s">
        <v>203</v>
      </c>
      <c r="Q177" s="187"/>
      <c r="R177" s="128">
        <v>1</v>
      </c>
      <c r="S177" s="172">
        <v>1</v>
      </c>
      <c r="T177" s="169">
        <f>19+45+7+3</f>
        <v>74</v>
      </c>
      <c r="U177" s="169">
        <f>19+45+7+3</f>
        <v>74</v>
      </c>
      <c r="V177" s="169">
        <v>0</v>
      </c>
      <c r="W177" s="169">
        <v>74</v>
      </c>
      <c r="X177" s="169">
        <f t="shared" si="27"/>
        <v>0</v>
      </c>
    </row>
    <row r="178" spans="1:24" ht="16.149999999999999" customHeight="1" x14ac:dyDescent="0.2">
      <c r="A178" s="170" t="s">
        <v>245</v>
      </c>
      <c r="B178" s="179" t="s">
        <v>412</v>
      </c>
      <c r="C178" s="171">
        <v>41856</v>
      </c>
      <c r="D178" s="165" t="s">
        <v>360</v>
      </c>
      <c r="E178" s="165" t="s">
        <v>399</v>
      </c>
      <c r="F178" s="165" t="s">
        <v>399</v>
      </c>
      <c r="G178" s="167">
        <f>2615.21-40.91+22.74+1.4-7+0.46+3.67-4.8923</f>
        <v>2590.6777000000002</v>
      </c>
      <c r="H178" s="167">
        <v>0</v>
      </c>
      <c r="I178" s="167">
        <f t="shared" si="29"/>
        <v>2590.6777000000002</v>
      </c>
      <c r="J178" s="167">
        <f>2448.14+19.56+3.76+4.14+25+6.17+1.4+23.36+4.4+20.64+4.13+1.49+3.02+3.67+0.79</f>
        <v>2569.67</v>
      </c>
      <c r="K178" s="167">
        <v>0</v>
      </c>
      <c r="L178" s="167">
        <f>J178+K178</f>
        <v>2569.67</v>
      </c>
      <c r="M178" s="127">
        <f>G178-J178-21.007692</f>
        <v>8.0000001148050615E-6</v>
      </c>
      <c r="N178" s="167">
        <f t="shared" ref="N178:N194" si="31">H178-K178</f>
        <v>0</v>
      </c>
      <c r="O178" s="167">
        <f t="shared" si="30"/>
        <v>8.0000001148050615E-6</v>
      </c>
      <c r="P178" s="167">
        <f>860.37-134.28-66.28+16.17+6.02+19.56+3.76-305.6-25.45-25.46-12.73+4.14+25-50.93-12.74-12.73-16.04+6.17-76.4-25.47-12.73-12.73-25.97+1.4-51.83+23.36-25.47+4.4+20.64+4.13-76.4-12.73-0.042-13.11+0.79-0.79</f>
        <v>-2.0000000001036966E-3</v>
      </c>
      <c r="Q178" s="187"/>
      <c r="R178" s="128">
        <v>1</v>
      </c>
      <c r="S178" s="128">
        <v>1</v>
      </c>
      <c r="T178" s="174">
        <v>200</v>
      </c>
      <c r="U178" s="174">
        <v>200</v>
      </c>
      <c r="V178" s="174">
        <v>0</v>
      </c>
      <c r="W178" s="169">
        <v>200</v>
      </c>
      <c r="X178" s="169">
        <f t="shared" si="27"/>
        <v>0</v>
      </c>
    </row>
    <row r="179" spans="1:24" ht="16.149999999999999" customHeight="1" x14ac:dyDescent="0.2">
      <c r="A179" s="170" t="s">
        <v>773</v>
      </c>
      <c r="B179" s="179" t="s">
        <v>774</v>
      </c>
      <c r="C179" s="171" t="s">
        <v>203</v>
      </c>
      <c r="D179" s="165" t="s">
        <v>203</v>
      </c>
      <c r="E179" s="165" t="s">
        <v>203</v>
      </c>
      <c r="F179" s="165" t="s">
        <v>203</v>
      </c>
      <c r="G179" s="167">
        <f>382.11+12.64-0.34</f>
        <v>394.41</v>
      </c>
      <c r="H179" s="167">
        <v>0</v>
      </c>
      <c r="I179" s="167">
        <f t="shared" si="29"/>
        <v>394.41</v>
      </c>
      <c r="J179" s="167">
        <f>381.77+12.64</f>
        <v>394.40999999999997</v>
      </c>
      <c r="K179" s="167">
        <v>0</v>
      </c>
      <c r="L179" s="167">
        <f t="shared" si="28"/>
        <v>394.40999999999997</v>
      </c>
      <c r="M179" s="127">
        <f t="shared" ref="M179:M192" si="32">G179-J179</f>
        <v>0</v>
      </c>
      <c r="N179" s="167">
        <f t="shared" si="31"/>
        <v>0</v>
      </c>
      <c r="O179" s="167">
        <f t="shared" si="30"/>
        <v>0</v>
      </c>
      <c r="P179" s="184" t="s">
        <v>203</v>
      </c>
      <c r="Q179" s="187"/>
      <c r="R179" s="128">
        <v>1</v>
      </c>
      <c r="S179" s="128">
        <v>1</v>
      </c>
      <c r="T179" s="174">
        <f>30+1</f>
        <v>31</v>
      </c>
      <c r="U179" s="174">
        <f>30+1</f>
        <v>31</v>
      </c>
      <c r="V179" s="174">
        <v>0</v>
      </c>
      <c r="W179" s="169">
        <v>31</v>
      </c>
      <c r="X179" s="169">
        <f t="shared" si="27"/>
        <v>0</v>
      </c>
    </row>
    <row r="180" spans="1:24" ht="16.149999999999999" customHeight="1" x14ac:dyDescent="0.2">
      <c r="A180" s="170" t="s">
        <v>255</v>
      </c>
      <c r="B180" s="179" t="s">
        <v>538</v>
      </c>
      <c r="C180" s="171">
        <v>42506</v>
      </c>
      <c r="D180" s="165" t="s">
        <v>539</v>
      </c>
      <c r="E180" s="165" t="s">
        <v>540</v>
      </c>
      <c r="F180" s="165" t="s">
        <v>541</v>
      </c>
      <c r="G180" s="167">
        <f>2688.31+78.79+374.37+33.43+0.3+0.71</f>
        <v>3175.91</v>
      </c>
      <c r="H180" s="167">
        <v>0</v>
      </c>
      <c r="I180" s="167">
        <f t="shared" si="29"/>
        <v>3175.91</v>
      </c>
      <c r="J180" s="167">
        <f>68.95+95.77+44.54+105.69+33+39.48+11.23+15.32+48.32+2.1+2.88+81.95+89.86+59.84+99.72+0.06+98.53+64.27+61.22+11.88+77.74+1.89+106.99+107.95+2.65+31.59+58.92+0.66+114.99+69.83+8.36+104.35+7+193.81+33.06+84.48+3.51+0.295+53.41+0.67+5.61+7+22.93+8.08+2.55+32.83</f>
        <v>2175.7650000000003</v>
      </c>
      <c r="K180" s="167">
        <v>0</v>
      </c>
      <c r="L180" s="167">
        <f t="shared" si="28"/>
        <v>2175.7650000000003</v>
      </c>
      <c r="M180" s="127">
        <f t="shared" si="32"/>
        <v>1000.1449999999995</v>
      </c>
      <c r="N180" s="167">
        <f t="shared" si="31"/>
        <v>0</v>
      </c>
      <c r="O180" s="167">
        <f t="shared" si="30"/>
        <v>1000.1449999999995</v>
      </c>
      <c r="P180" s="167">
        <f>68.95+95.77+44.54+105.69+33+39.48+11.226523+15.32+48.32+2.1+2.88+81.95+89.86+59.84+99.72+0.06+98.53+64.27+61.22+11.88+77.74+1.89+106.99+107.95+2.65+31.59+58.92+0.66-230.92-173.08-306.96+3.51+0.295-28.08+8.08-107.47123868</f>
        <v>588.37028432000034</v>
      </c>
      <c r="Q180" s="187"/>
      <c r="R180" s="128">
        <v>0.96</v>
      </c>
      <c r="S180" s="128">
        <v>0.52</v>
      </c>
      <c r="T180" s="174">
        <v>131</v>
      </c>
      <c r="U180" s="174">
        <v>178</v>
      </c>
      <c r="V180" s="174">
        <v>19</v>
      </c>
      <c r="W180" s="169">
        <v>73</v>
      </c>
      <c r="X180" s="169">
        <f t="shared" si="27"/>
        <v>58</v>
      </c>
    </row>
    <row r="181" spans="1:24" ht="16.149999999999999" customHeight="1" x14ac:dyDescent="0.2">
      <c r="A181" s="170" t="s">
        <v>24</v>
      </c>
      <c r="B181" s="171" t="s">
        <v>775</v>
      </c>
      <c r="C181" s="171">
        <v>42205</v>
      </c>
      <c r="D181" s="165" t="s">
        <v>361</v>
      </c>
      <c r="E181" s="165" t="s">
        <v>776</v>
      </c>
      <c r="F181" s="165" t="s">
        <v>777</v>
      </c>
      <c r="G181" s="167">
        <f>1611.79+4.98+25.14+1.92+2.9+1.78+37.36+1.75+0.36+1.41+2.59+6.37+1.52+11.49</f>
        <v>1711.36</v>
      </c>
      <c r="H181" s="167">
        <v>0</v>
      </c>
      <c r="I181" s="167">
        <f t="shared" si="29"/>
        <v>1711.36</v>
      </c>
      <c r="J181" s="167">
        <f>883.92+45.15+50.69+46.32+43.48+53.49+43.06+50.61+81.66+5.61+20.14+12.81+12.96+8.07+3.58+27.96+10.4+1.95+17.44+56.33+70+5.42+43.54+0.19+0.19+5.27+0.98+4.86+20.08+3.5+0.19+4.82+1.55+10.55+2.88+3.49+2.87+0.89+2.88+4.21+3.23+9.42+5.47+2.57+1.69+3.08+2.5+4.48+4.44+0.13</f>
        <v>1701.0000000000002</v>
      </c>
      <c r="K181" s="167">
        <v>0</v>
      </c>
      <c r="L181" s="167">
        <f t="shared" si="28"/>
        <v>1701.0000000000002</v>
      </c>
      <c r="M181" s="127">
        <f t="shared" si="32"/>
        <v>10.359999999999673</v>
      </c>
      <c r="N181" s="167">
        <f t="shared" si="31"/>
        <v>0</v>
      </c>
      <c r="O181" s="167">
        <f t="shared" si="30"/>
        <v>10.359999999999673</v>
      </c>
      <c r="P181" s="167">
        <f>883.92+45.15+50.69+46.32+43.48+53.49+43.06+50.61+81.66+5.61+20.14+12.81+12.96+8.07+3.58+27.96+10.4+1.95+17.44+56.33+70+5.42+43.54+0.19+0.19+5.27+0.98+4.86-315.9+20.08+3.5-399.6+0.19+4.82+1.55+10.55+2.87-252.19-0.07+3.5+2.87-74.11+0.89+2.88+4.21+3.23-254.58+9.42+5.47+2.57+1.69+3.08-393+2.5+4.48+4.44-11.42+0.13</f>
        <v>0.12999999999977441</v>
      </c>
      <c r="Q181" s="187"/>
      <c r="R181" s="128">
        <v>1</v>
      </c>
      <c r="S181" s="128">
        <v>1</v>
      </c>
      <c r="T181" s="169">
        <v>113</v>
      </c>
      <c r="U181" s="169">
        <v>113</v>
      </c>
      <c r="V181" s="169">
        <v>0</v>
      </c>
      <c r="W181" s="169">
        <v>113</v>
      </c>
      <c r="X181" s="169">
        <f t="shared" si="27"/>
        <v>0</v>
      </c>
    </row>
    <row r="182" spans="1:24" ht="16.149999999999999" customHeight="1" x14ac:dyDescent="0.2">
      <c r="A182" s="170" t="s">
        <v>289</v>
      </c>
      <c r="B182" s="171" t="s">
        <v>1262</v>
      </c>
      <c r="C182" s="171">
        <v>41936</v>
      </c>
      <c r="D182" s="165" t="s">
        <v>542</v>
      </c>
      <c r="E182" s="165" t="s">
        <v>543</v>
      </c>
      <c r="F182" s="165" t="s">
        <v>1263</v>
      </c>
      <c r="G182" s="167">
        <f>1792.99+18.58+115.98+11.07+15.71827559</f>
        <v>1954.33827559</v>
      </c>
      <c r="H182" s="167">
        <v>0</v>
      </c>
      <c r="I182" s="167">
        <f t="shared" si="29"/>
        <v>1954.33827559</v>
      </c>
      <c r="J182" s="167">
        <f>1593+51.83+0.091+0.039+43.68+0.78+0.48+0.27+0.25+2.48+0.17+22.34+0.27+0.063+0.3+0.75+120.06+1.93+1.14+23.92+2.45+4.59+1.44+0.55+7.2+19.2+27.79+2.76+4.94+0.04</f>
        <v>1934.8030000000001</v>
      </c>
      <c r="K182" s="167">
        <v>0</v>
      </c>
      <c r="L182" s="167">
        <f t="shared" si="28"/>
        <v>1934.8030000000001</v>
      </c>
      <c r="M182" s="127">
        <f t="shared" si="32"/>
        <v>19.535275589999856</v>
      </c>
      <c r="N182" s="167">
        <f t="shared" si="31"/>
        <v>0</v>
      </c>
      <c r="O182" s="167">
        <f t="shared" si="30"/>
        <v>19.535275589999856</v>
      </c>
      <c r="P182" s="167">
        <f>409.82+22.34+0.27+0.063+0.3-68.29-8.78-24.45+0.75-194.24+120.06+1.93-71.98+1.14-66.41-68.96+23.92+2.45+4.59-7.72+1.44+0.55+7.2-31.82+19.2+27.79+2.76+4.94+0.04</f>
        <v>108.90299999999996</v>
      </c>
      <c r="Q182" s="187"/>
      <c r="R182" s="128">
        <v>1</v>
      </c>
      <c r="S182" s="128">
        <v>1</v>
      </c>
      <c r="T182" s="169">
        <v>51</v>
      </c>
      <c r="U182" s="169">
        <v>51</v>
      </c>
      <c r="V182" s="169">
        <v>0</v>
      </c>
      <c r="W182" s="169">
        <v>51</v>
      </c>
      <c r="X182" s="169">
        <f t="shared" si="27"/>
        <v>0</v>
      </c>
    </row>
    <row r="183" spans="1:24" ht="16.149999999999999" customHeight="1" x14ac:dyDescent="0.2">
      <c r="A183" s="170" t="s">
        <v>778</v>
      </c>
      <c r="B183" s="171" t="s">
        <v>779</v>
      </c>
      <c r="C183" s="171" t="s">
        <v>203</v>
      </c>
      <c r="D183" s="165" t="s">
        <v>203</v>
      </c>
      <c r="E183" s="165" t="s">
        <v>203</v>
      </c>
      <c r="F183" s="165" t="s">
        <v>203</v>
      </c>
      <c r="G183" s="167">
        <f>1015.86+37.48</f>
        <v>1053.3399999999999</v>
      </c>
      <c r="H183" s="167">
        <v>0</v>
      </c>
      <c r="I183" s="167">
        <f t="shared" si="29"/>
        <v>1053.3399999999999</v>
      </c>
      <c r="J183" s="167">
        <v>1053.3399999999999</v>
      </c>
      <c r="K183" s="167">
        <v>0</v>
      </c>
      <c r="L183" s="167">
        <f t="shared" si="28"/>
        <v>1053.3399999999999</v>
      </c>
      <c r="M183" s="127">
        <f t="shared" si="32"/>
        <v>0</v>
      </c>
      <c r="N183" s="167">
        <f t="shared" si="31"/>
        <v>0</v>
      </c>
      <c r="O183" s="167">
        <f t="shared" si="30"/>
        <v>0</v>
      </c>
      <c r="P183" s="184" t="s">
        <v>203</v>
      </c>
      <c r="Q183" s="187"/>
      <c r="R183" s="128">
        <v>1</v>
      </c>
      <c r="S183" s="128">
        <v>1</v>
      </c>
      <c r="T183" s="169">
        <f>55+2</f>
        <v>57</v>
      </c>
      <c r="U183" s="169">
        <f>55+2</f>
        <v>57</v>
      </c>
      <c r="V183" s="169">
        <v>0</v>
      </c>
      <c r="W183" s="169">
        <v>57</v>
      </c>
      <c r="X183" s="169">
        <f t="shared" si="27"/>
        <v>0</v>
      </c>
    </row>
    <row r="184" spans="1:24" ht="16.149999999999999" customHeight="1" x14ac:dyDescent="0.2">
      <c r="A184" s="170" t="s">
        <v>780</v>
      </c>
      <c r="B184" s="171" t="s">
        <v>781</v>
      </c>
      <c r="C184" s="171" t="s">
        <v>203</v>
      </c>
      <c r="D184" s="165" t="s">
        <v>203</v>
      </c>
      <c r="E184" s="165" t="s">
        <v>203</v>
      </c>
      <c r="F184" s="165" t="s">
        <v>203</v>
      </c>
      <c r="G184" s="167">
        <f>324.59+25.36+76.09+38</f>
        <v>464.03999999999996</v>
      </c>
      <c r="H184" s="167">
        <v>0</v>
      </c>
      <c r="I184" s="167">
        <f t="shared" si="29"/>
        <v>464.03999999999996</v>
      </c>
      <c r="J184" s="167">
        <f>324.59+101.45+38</f>
        <v>464.03999999999996</v>
      </c>
      <c r="K184" s="167">
        <v>0</v>
      </c>
      <c r="L184" s="167">
        <f t="shared" si="28"/>
        <v>464.03999999999996</v>
      </c>
      <c r="M184" s="127">
        <f t="shared" si="32"/>
        <v>0</v>
      </c>
      <c r="N184" s="167">
        <f t="shared" si="31"/>
        <v>0</v>
      </c>
      <c r="O184" s="167">
        <f t="shared" si="30"/>
        <v>0</v>
      </c>
      <c r="P184" s="184" t="s">
        <v>203</v>
      </c>
      <c r="Q184" s="187"/>
      <c r="R184" s="128">
        <v>1</v>
      </c>
      <c r="S184" s="128">
        <v>1</v>
      </c>
      <c r="T184" s="169">
        <f>25+2+6+3</f>
        <v>36</v>
      </c>
      <c r="U184" s="169">
        <f>25+2+6+3</f>
        <v>36</v>
      </c>
      <c r="V184" s="169">
        <v>0</v>
      </c>
      <c r="W184" s="169">
        <v>36</v>
      </c>
      <c r="X184" s="169">
        <f t="shared" si="27"/>
        <v>0</v>
      </c>
    </row>
    <row r="185" spans="1:24" ht="16.149999999999999" customHeight="1" x14ac:dyDescent="0.2">
      <c r="A185" s="170" t="s">
        <v>782</v>
      </c>
      <c r="B185" s="171" t="s">
        <v>783</v>
      </c>
      <c r="C185" s="171" t="s">
        <v>203</v>
      </c>
      <c r="D185" s="165" t="s">
        <v>203</v>
      </c>
      <c r="E185" s="165" t="s">
        <v>203</v>
      </c>
      <c r="F185" s="165" t="s">
        <v>203</v>
      </c>
      <c r="G185" s="167">
        <f>183.01+16.25</f>
        <v>199.26</v>
      </c>
      <c r="H185" s="167">
        <v>0</v>
      </c>
      <c r="I185" s="167">
        <f t="shared" si="29"/>
        <v>199.26</v>
      </c>
      <c r="J185" s="167">
        <f>183.01+16.25</f>
        <v>199.26</v>
      </c>
      <c r="K185" s="167">
        <v>0</v>
      </c>
      <c r="L185" s="167">
        <f t="shared" si="28"/>
        <v>199.26</v>
      </c>
      <c r="M185" s="127">
        <f t="shared" si="32"/>
        <v>0</v>
      </c>
      <c r="N185" s="167">
        <f t="shared" si="31"/>
        <v>0</v>
      </c>
      <c r="O185" s="167">
        <f t="shared" si="30"/>
        <v>0</v>
      </c>
      <c r="P185" s="184" t="s">
        <v>203</v>
      </c>
      <c r="Q185" s="187"/>
      <c r="R185" s="128">
        <v>1</v>
      </c>
      <c r="S185" s="128">
        <v>1</v>
      </c>
      <c r="T185" s="169">
        <f>11+1</f>
        <v>12</v>
      </c>
      <c r="U185" s="169">
        <f>11+1</f>
        <v>12</v>
      </c>
      <c r="V185" s="169">
        <v>0</v>
      </c>
      <c r="W185" s="169">
        <v>12</v>
      </c>
      <c r="X185" s="169">
        <f t="shared" si="27"/>
        <v>0</v>
      </c>
    </row>
    <row r="186" spans="1:24" ht="16.149999999999999" customHeight="1" x14ac:dyDescent="0.2">
      <c r="A186" s="186" t="s">
        <v>784</v>
      </c>
      <c r="B186" s="171" t="s">
        <v>1264</v>
      </c>
      <c r="C186" s="169"/>
      <c r="D186" s="165"/>
      <c r="E186" s="165"/>
      <c r="F186" s="165"/>
      <c r="G186" s="167">
        <f>1.89+6.85343875+3.30536865+10.05+72.09</f>
        <v>94.188807400000002</v>
      </c>
      <c r="H186" s="167">
        <v>0</v>
      </c>
      <c r="I186" s="167">
        <f t="shared" si="29"/>
        <v>94.188807400000002</v>
      </c>
      <c r="J186" s="167">
        <f>1.89+2.94+1.57+1.65+2.26+2.15+0.78+1.65+9.88+2.15</f>
        <v>26.92</v>
      </c>
      <c r="K186" s="167">
        <v>0</v>
      </c>
      <c r="L186" s="167">
        <f t="shared" si="28"/>
        <v>26.92</v>
      </c>
      <c r="M186" s="127">
        <f t="shared" si="32"/>
        <v>67.2688074</v>
      </c>
      <c r="N186" s="167">
        <f t="shared" si="31"/>
        <v>0</v>
      </c>
      <c r="O186" s="167">
        <f t="shared" si="30"/>
        <v>67.2688074</v>
      </c>
      <c r="P186" s="178">
        <f>1.89+2.94+1.57+1.65+2.26+2.15+0.78+1.65+9.88+2.15</f>
        <v>26.92</v>
      </c>
      <c r="Q186" s="187"/>
      <c r="R186" s="128">
        <v>0</v>
      </c>
      <c r="S186" s="128">
        <v>0</v>
      </c>
      <c r="T186" s="169">
        <v>0</v>
      </c>
      <c r="U186" s="169">
        <v>0</v>
      </c>
      <c r="V186" s="169">
        <v>0</v>
      </c>
      <c r="W186" s="169">
        <v>0</v>
      </c>
      <c r="X186" s="169">
        <f t="shared" si="27"/>
        <v>0</v>
      </c>
    </row>
    <row r="187" spans="1:24" ht="16.149999999999999" customHeight="1" x14ac:dyDescent="0.2">
      <c r="A187" s="170" t="s">
        <v>385</v>
      </c>
      <c r="B187" s="171" t="s">
        <v>544</v>
      </c>
      <c r="C187" s="171"/>
      <c r="D187" s="165" t="s">
        <v>785</v>
      </c>
      <c r="E187" s="165" t="s">
        <v>786</v>
      </c>
      <c r="F187" s="165" t="s">
        <v>1265</v>
      </c>
      <c r="G187" s="167">
        <f>982.45+497.31+44.71+98.42+30.1-93.59</f>
        <v>1559.4</v>
      </c>
      <c r="H187" s="167">
        <v>0</v>
      </c>
      <c r="I187" s="167">
        <f t="shared" si="29"/>
        <v>1559.4</v>
      </c>
      <c r="J187" s="167">
        <f>170.01+73.84+20.98+33.53+95.8+2.24+42.91+46.16+42.48+6.1+1.88+91.15+0.19+130.19+90.04+52.34+49.09+75.3+31.54+17.47+46.28+126.36+79.46+22.71+67.47+4.58+10.97+7.75+40.16+2.29+49.2+27.96+0.97</f>
        <v>1559.4</v>
      </c>
      <c r="K187" s="167">
        <v>0</v>
      </c>
      <c r="L187" s="167">
        <f t="shared" si="28"/>
        <v>1559.4</v>
      </c>
      <c r="M187" s="127">
        <f t="shared" si="32"/>
        <v>0</v>
      </c>
      <c r="N187" s="167">
        <f t="shared" si="31"/>
        <v>0</v>
      </c>
      <c r="O187" s="167">
        <f t="shared" si="30"/>
        <v>0</v>
      </c>
      <c r="P187" s="167">
        <f>170.01+73.84+20.98+33.53+95.8+2.24+42.91+46.16+42.48+6.1+1.88+91.15+0.19+130.19+90.04+52.34+49.09+75.3+31.54+17.47+46.28+126.36+79.46+22.71+67.47+4.58+10.97-968.15-462.92+7.75+40.17+2.29+49.2+27.96+0.97-128.34</f>
        <v>0</v>
      </c>
      <c r="Q187" s="187"/>
      <c r="R187" s="128">
        <v>0.80610000000000004</v>
      </c>
      <c r="S187" s="128">
        <v>0.73260000000000003</v>
      </c>
      <c r="T187" s="169">
        <v>74</v>
      </c>
      <c r="U187" s="169">
        <v>74</v>
      </c>
      <c r="V187" s="169">
        <v>0</v>
      </c>
      <c r="W187" s="169">
        <v>74</v>
      </c>
      <c r="X187" s="169">
        <f t="shared" si="27"/>
        <v>0</v>
      </c>
    </row>
    <row r="188" spans="1:24" ht="16.149999999999999" customHeight="1" x14ac:dyDescent="0.2">
      <c r="A188" s="170" t="s">
        <v>787</v>
      </c>
      <c r="B188" s="171" t="s">
        <v>788</v>
      </c>
      <c r="C188" s="171" t="s">
        <v>203</v>
      </c>
      <c r="D188" s="165" t="s">
        <v>203</v>
      </c>
      <c r="E188" s="165" t="s">
        <v>203</v>
      </c>
      <c r="F188" s="165" t="s">
        <v>203</v>
      </c>
      <c r="G188" s="167">
        <f>179.34+96.22</f>
        <v>275.56</v>
      </c>
      <c r="H188" s="167">
        <v>0</v>
      </c>
      <c r="I188" s="167">
        <f t="shared" si="29"/>
        <v>275.56</v>
      </c>
      <c r="J188" s="167">
        <f>157.11+22.23+76.48+19.74</f>
        <v>275.56</v>
      </c>
      <c r="K188" s="167">
        <v>0</v>
      </c>
      <c r="L188" s="167">
        <f t="shared" si="28"/>
        <v>275.56</v>
      </c>
      <c r="M188" s="127">
        <f t="shared" si="32"/>
        <v>0</v>
      </c>
      <c r="N188" s="167">
        <f t="shared" si="31"/>
        <v>0</v>
      </c>
      <c r="O188" s="167">
        <f t="shared" si="30"/>
        <v>0</v>
      </c>
      <c r="P188" s="184" t="s">
        <v>203</v>
      </c>
      <c r="Q188" s="187"/>
      <c r="R188" s="128">
        <v>1</v>
      </c>
      <c r="S188" s="128">
        <v>1</v>
      </c>
      <c r="T188" s="169">
        <f>8+5</f>
        <v>13</v>
      </c>
      <c r="U188" s="169">
        <f>8+5</f>
        <v>13</v>
      </c>
      <c r="V188" s="169">
        <v>0</v>
      </c>
      <c r="W188" s="169">
        <v>13</v>
      </c>
      <c r="X188" s="169">
        <f t="shared" si="27"/>
        <v>0</v>
      </c>
    </row>
    <row r="189" spans="1:24" ht="16.149999999999999" customHeight="1" x14ac:dyDescent="0.2">
      <c r="A189" s="170" t="s">
        <v>400</v>
      </c>
      <c r="B189" s="171" t="s">
        <v>1266</v>
      </c>
      <c r="C189" s="171"/>
      <c r="D189" s="165"/>
      <c r="E189" s="165"/>
      <c r="F189" s="165" t="s">
        <v>1267</v>
      </c>
      <c r="G189" s="167">
        <f>308.64+34.59+17.42+24.46</f>
        <v>385.11</v>
      </c>
      <c r="H189" s="167">
        <v>0</v>
      </c>
      <c r="I189" s="167">
        <f t="shared" si="29"/>
        <v>385.11</v>
      </c>
      <c r="J189" s="167">
        <f>264.41+45.25+5.65</f>
        <v>315.31</v>
      </c>
      <c r="K189" s="167">
        <v>0</v>
      </c>
      <c r="L189" s="167">
        <f t="shared" si="28"/>
        <v>315.31</v>
      </c>
      <c r="M189" s="127">
        <f t="shared" si="32"/>
        <v>69.800000000000011</v>
      </c>
      <c r="N189" s="167">
        <f t="shared" si="31"/>
        <v>0</v>
      </c>
      <c r="O189" s="167">
        <f t="shared" si="30"/>
        <v>69.800000000000011</v>
      </c>
      <c r="P189" s="184" t="s">
        <v>203</v>
      </c>
      <c r="Q189" s="187"/>
      <c r="R189" s="128">
        <v>1</v>
      </c>
      <c r="S189" s="128">
        <v>0</v>
      </c>
      <c r="T189" s="169">
        <f>17+2+1</f>
        <v>20</v>
      </c>
      <c r="U189" s="169">
        <f>17+2+1</f>
        <v>20</v>
      </c>
      <c r="V189" s="169">
        <v>0</v>
      </c>
      <c r="W189" s="169">
        <v>20</v>
      </c>
      <c r="X189" s="169">
        <f t="shared" si="27"/>
        <v>0</v>
      </c>
    </row>
    <row r="190" spans="1:24" ht="16.149999999999999" customHeight="1" x14ac:dyDescent="0.2">
      <c r="A190" s="170" t="s">
        <v>413</v>
      </c>
      <c r="B190" s="171" t="s">
        <v>479</v>
      </c>
      <c r="C190" s="171">
        <v>43318</v>
      </c>
      <c r="D190" s="165"/>
      <c r="E190" s="165"/>
      <c r="F190" s="165"/>
      <c r="G190" s="167">
        <f>579.02-0.57+313.96+0.07-20.34+0.002</f>
        <v>872.14199999999983</v>
      </c>
      <c r="H190" s="167">
        <v>0</v>
      </c>
      <c r="I190" s="167">
        <f t="shared" si="29"/>
        <v>872.14199999999983</v>
      </c>
      <c r="J190" s="167">
        <f>94.18+102.75+7.27+7.68+25.91+133.33+175.19+36.04+13.01+108.46+7.68+12.27+4.61+1.51+15.37+29.6+63.77+17.54+6.28+9.62+0.072</f>
        <v>872.14199999999983</v>
      </c>
      <c r="K190" s="167">
        <v>0</v>
      </c>
      <c r="L190" s="167">
        <f t="shared" si="28"/>
        <v>872.14199999999983</v>
      </c>
      <c r="M190" s="127">
        <f t="shared" si="32"/>
        <v>0</v>
      </c>
      <c r="N190" s="167">
        <f t="shared" si="31"/>
        <v>0</v>
      </c>
      <c r="O190" s="167">
        <f t="shared" si="30"/>
        <v>0</v>
      </c>
      <c r="P190" s="184" t="s">
        <v>203</v>
      </c>
      <c r="Q190" s="168"/>
      <c r="R190" s="128">
        <v>1</v>
      </c>
      <c r="S190" s="128">
        <v>1</v>
      </c>
      <c r="T190" s="169">
        <f>34+18</f>
        <v>52</v>
      </c>
      <c r="U190" s="169">
        <f>34+18</f>
        <v>52</v>
      </c>
      <c r="V190" s="169">
        <v>0</v>
      </c>
      <c r="W190" s="169">
        <v>52</v>
      </c>
      <c r="X190" s="169">
        <f t="shared" si="27"/>
        <v>0</v>
      </c>
    </row>
    <row r="191" spans="1:24" ht="16.149999999999999" customHeight="1" x14ac:dyDescent="0.2">
      <c r="A191" s="170" t="s">
        <v>1268</v>
      </c>
      <c r="B191" s="171" t="s">
        <v>1269</v>
      </c>
      <c r="C191" s="171"/>
      <c r="D191" s="165"/>
      <c r="E191" s="165"/>
      <c r="F191" s="165"/>
      <c r="G191" s="167">
        <v>0</v>
      </c>
      <c r="H191" s="167">
        <f>263.81+40.67850287+3.04</f>
        <v>307.52850287000001</v>
      </c>
      <c r="I191" s="167">
        <f t="shared" si="29"/>
        <v>307.52850287000001</v>
      </c>
      <c r="J191" s="167">
        <v>0</v>
      </c>
      <c r="K191" s="167">
        <f>1.138+2.54+2.11</f>
        <v>5.7880000000000003</v>
      </c>
      <c r="L191" s="167">
        <f t="shared" si="28"/>
        <v>5.7880000000000003</v>
      </c>
      <c r="M191" s="167">
        <f t="shared" si="32"/>
        <v>0</v>
      </c>
      <c r="N191" s="167">
        <f t="shared" si="31"/>
        <v>301.74050287</v>
      </c>
      <c r="O191" s="167">
        <f t="shared" si="30"/>
        <v>301.74050287</v>
      </c>
      <c r="P191" s="178" t="s">
        <v>203</v>
      </c>
      <c r="Q191" s="187"/>
      <c r="R191" s="128">
        <v>0</v>
      </c>
      <c r="S191" s="128">
        <v>1</v>
      </c>
      <c r="T191" s="169">
        <v>0</v>
      </c>
      <c r="U191" s="169">
        <v>5638</v>
      </c>
      <c r="V191" s="169">
        <v>0</v>
      </c>
      <c r="W191" s="169">
        <v>0</v>
      </c>
      <c r="X191" s="169">
        <f t="shared" si="27"/>
        <v>0</v>
      </c>
    </row>
    <row r="192" spans="1:24" ht="16.149999999999999" customHeight="1" x14ac:dyDescent="0.2">
      <c r="A192" s="170" t="s">
        <v>789</v>
      </c>
      <c r="B192" s="171" t="s">
        <v>790</v>
      </c>
      <c r="C192" s="171" t="s">
        <v>203</v>
      </c>
      <c r="D192" s="165" t="s">
        <v>203</v>
      </c>
      <c r="E192" s="165" t="s">
        <v>203</v>
      </c>
      <c r="F192" s="165" t="s">
        <v>203</v>
      </c>
      <c r="G192" s="167">
        <f>159.99+17.79+17.79+17.79</f>
        <v>213.35999999999999</v>
      </c>
      <c r="H192" s="167">
        <v>0</v>
      </c>
      <c r="I192" s="167">
        <f t="shared" si="29"/>
        <v>213.35999999999999</v>
      </c>
      <c r="J192" s="167">
        <f>177.78+17.79</f>
        <v>195.57</v>
      </c>
      <c r="K192" s="167">
        <v>0</v>
      </c>
      <c r="L192" s="167">
        <f t="shared" si="28"/>
        <v>195.57</v>
      </c>
      <c r="M192" s="127">
        <f t="shared" si="32"/>
        <v>17.789999999999992</v>
      </c>
      <c r="N192" s="167">
        <f t="shared" si="31"/>
        <v>0</v>
      </c>
      <c r="O192" s="167">
        <f>I192-J192</f>
        <v>17.789999999999992</v>
      </c>
      <c r="P192" s="184" t="s">
        <v>203</v>
      </c>
      <c r="Q192" s="187"/>
      <c r="R192" s="128">
        <v>1</v>
      </c>
      <c r="S192" s="128">
        <v>1</v>
      </c>
      <c r="T192" s="169">
        <f>9+1+1+1</f>
        <v>12</v>
      </c>
      <c r="U192" s="169">
        <f>9+1+1+1</f>
        <v>12</v>
      </c>
      <c r="V192" s="169">
        <v>1</v>
      </c>
      <c r="W192" s="169">
        <v>11</v>
      </c>
      <c r="X192" s="169">
        <f>T192-W192</f>
        <v>1</v>
      </c>
    </row>
    <row r="193" spans="1:24" ht="16.149999999999999" customHeight="1" x14ac:dyDescent="0.2">
      <c r="A193" s="170" t="s">
        <v>791</v>
      </c>
      <c r="B193" s="171" t="s">
        <v>792</v>
      </c>
      <c r="C193" s="171"/>
      <c r="D193" s="165"/>
      <c r="E193" s="165"/>
      <c r="F193" s="165"/>
      <c r="G193" s="167">
        <v>0</v>
      </c>
      <c r="H193" s="167">
        <v>570.16999999999996</v>
      </c>
      <c r="I193" s="167">
        <f t="shared" si="29"/>
        <v>570.16999999999996</v>
      </c>
      <c r="J193" s="167">
        <v>0</v>
      </c>
      <c r="K193" s="167">
        <f>2.12+5.37+1.06+1.977</f>
        <v>10.527000000000001</v>
      </c>
      <c r="L193" s="167">
        <f t="shared" si="28"/>
        <v>10.527000000000001</v>
      </c>
      <c r="M193" s="127">
        <v>0</v>
      </c>
      <c r="N193" s="167">
        <f t="shared" si="31"/>
        <v>559.64299999999992</v>
      </c>
      <c r="O193" s="167">
        <f>I193-L193</f>
        <v>559.64299999999992</v>
      </c>
      <c r="P193" s="184" t="s">
        <v>203</v>
      </c>
      <c r="Q193" s="187"/>
      <c r="R193" s="128">
        <v>0</v>
      </c>
      <c r="S193" s="128">
        <v>1</v>
      </c>
      <c r="T193" s="169">
        <v>0</v>
      </c>
      <c r="U193" s="169" t="s">
        <v>395</v>
      </c>
      <c r="V193" s="169">
        <v>0</v>
      </c>
      <c r="W193" s="169">
        <v>0</v>
      </c>
      <c r="X193" s="169">
        <v>0</v>
      </c>
    </row>
    <row r="194" spans="1:24" ht="16.149999999999999" customHeight="1" x14ac:dyDescent="0.2">
      <c r="A194" s="170" t="s">
        <v>793</v>
      </c>
      <c r="B194" s="171" t="s">
        <v>794</v>
      </c>
      <c r="C194" s="171" t="s">
        <v>203</v>
      </c>
      <c r="D194" s="165" t="s">
        <v>203</v>
      </c>
      <c r="E194" s="165" t="s">
        <v>203</v>
      </c>
      <c r="F194" s="165" t="s">
        <v>203</v>
      </c>
      <c r="G194" s="167">
        <f>1128.46+315.92+116.69+104.7+64.95</f>
        <v>1730.7200000000003</v>
      </c>
      <c r="H194" s="167">
        <v>0</v>
      </c>
      <c r="I194" s="167">
        <f t="shared" si="29"/>
        <v>1730.7200000000003</v>
      </c>
      <c r="J194" s="167">
        <f>1482.99+78.05+169.66</f>
        <v>1730.7</v>
      </c>
      <c r="K194" s="167">
        <v>0</v>
      </c>
      <c r="L194" s="167">
        <f t="shared" si="28"/>
        <v>1730.7</v>
      </c>
      <c r="M194" s="127">
        <f>G194-J194</f>
        <v>2.0000000000209184E-2</v>
      </c>
      <c r="N194" s="167">
        <f t="shared" si="31"/>
        <v>0</v>
      </c>
      <c r="O194" s="167">
        <f>I194-J194</f>
        <v>2.0000000000209184E-2</v>
      </c>
      <c r="P194" s="184" t="s">
        <v>203</v>
      </c>
      <c r="Q194" s="187"/>
      <c r="R194" s="128">
        <v>1</v>
      </c>
      <c r="S194" s="128">
        <v>1</v>
      </c>
      <c r="T194" s="169">
        <f>58+16+6+5+3</f>
        <v>88</v>
      </c>
      <c r="U194" s="169">
        <f>58+16+6+5+3</f>
        <v>88</v>
      </c>
      <c r="V194" s="169">
        <v>0</v>
      </c>
      <c r="W194" s="169">
        <v>88</v>
      </c>
      <c r="X194" s="169">
        <f t="shared" ref="X194:X202" si="33">T194-W194</f>
        <v>0</v>
      </c>
    </row>
    <row r="195" spans="1:24" ht="16.149999999999999" customHeight="1" x14ac:dyDescent="0.2">
      <c r="A195" s="170" t="s">
        <v>480</v>
      </c>
      <c r="B195" s="171" t="s">
        <v>1270</v>
      </c>
      <c r="C195" s="171">
        <v>43618</v>
      </c>
      <c r="D195" s="165" t="s">
        <v>795</v>
      </c>
      <c r="E195" s="165" t="s">
        <v>796</v>
      </c>
      <c r="F195" s="165" t="s">
        <v>1271</v>
      </c>
      <c r="G195" s="167">
        <f>3221.47+21.55+0.15406884+0.63+0.17500385</f>
        <v>3243.9790726900001</v>
      </c>
      <c r="H195" s="167">
        <v>0</v>
      </c>
      <c r="I195" s="167">
        <v>3221.47</v>
      </c>
      <c r="J195" s="167">
        <f>2854.07889869+19.03+9.22+34.81+10.64+13.09+35.59+15.68+2.31+4.48+2.7+13.51+5+26.91+74+12+7.24+3.89+5.08+4.8+16.41+12.6+2.88+7.56+9.11+0.22</f>
        <v>3202.8388986899995</v>
      </c>
      <c r="K195" s="167">
        <v>0</v>
      </c>
      <c r="L195" s="167">
        <f>J195+K195</f>
        <v>3202.8388986899995</v>
      </c>
      <c r="M195" s="127">
        <f>G195-J195</f>
        <v>41.14017400000057</v>
      </c>
      <c r="N195" s="167">
        <v>0</v>
      </c>
      <c r="O195" s="167">
        <f t="shared" ref="O195:O206" si="34">M195+N195</f>
        <v>41.14017400000057</v>
      </c>
      <c r="P195" s="167">
        <f>2854.08+19.04+9.23+34.81+10.64+13.09+35.59+15.68+2.31+4.48+2.7+13.51+5+26.91+74+12+7.24+3.89+5.08-1649.98+4.79+16.41+12.6+2.88-235.49-46.62+7.56+9.11-615.83-300.08+0.22-23.82</f>
        <v>331.02999999999929</v>
      </c>
      <c r="Q195" s="187"/>
      <c r="R195" s="128">
        <v>0.96020000000000005</v>
      </c>
      <c r="S195" s="128">
        <v>0.99950000000000006</v>
      </c>
      <c r="T195" s="169">
        <v>133</v>
      </c>
      <c r="U195" s="169">
        <v>133</v>
      </c>
      <c r="V195" s="169">
        <v>1</v>
      </c>
      <c r="W195" s="169">
        <v>118</v>
      </c>
      <c r="X195" s="169">
        <f>+U195-W195</f>
        <v>15</v>
      </c>
    </row>
    <row r="196" spans="1:24" ht="16.149999999999999" customHeight="1" x14ac:dyDescent="0.2">
      <c r="A196" s="170" t="s">
        <v>1272</v>
      </c>
      <c r="B196" s="171" t="s">
        <v>1273</v>
      </c>
      <c r="C196" s="171"/>
      <c r="D196" s="165"/>
      <c r="E196" s="165"/>
      <c r="F196" s="165"/>
      <c r="G196" s="167">
        <v>0</v>
      </c>
      <c r="H196" s="167">
        <f>595.8-20.35+5.75</f>
        <v>581.19999999999993</v>
      </c>
      <c r="I196" s="167">
        <f t="shared" ref="I196:I206" si="35">G196+H196</f>
        <v>581.19999999999993</v>
      </c>
      <c r="J196" s="167">
        <v>0</v>
      </c>
      <c r="K196" s="167">
        <f>2.62+5.6+2.11</f>
        <v>10.329999999999998</v>
      </c>
      <c r="L196" s="167">
        <f t="shared" si="28"/>
        <v>10.329999999999998</v>
      </c>
      <c r="M196" s="127">
        <f>G196-J196</f>
        <v>0</v>
      </c>
      <c r="N196" s="167">
        <f t="shared" ref="N196:N206" si="36">H196-K196</f>
        <v>570.86999999999989</v>
      </c>
      <c r="O196" s="167">
        <f t="shared" si="34"/>
        <v>570.86999999999989</v>
      </c>
      <c r="P196" s="184" t="s">
        <v>203</v>
      </c>
      <c r="Q196" s="187"/>
      <c r="R196" s="128">
        <v>0</v>
      </c>
      <c r="S196" s="128">
        <v>1</v>
      </c>
      <c r="T196" s="169">
        <v>0</v>
      </c>
      <c r="U196" s="169">
        <v>0</v>
      </c>
      <c r="V196" s="169">
        <v>0</v>
      </c>
      <c r="W196" s="169">
        <v>0</v>
      </c>
      <c r="X196" s="169">
        <f t="shared" si="33"/>
        <v>0</v>
      </c>
    </row>
    <row r="197" spans="1:24" ht="16.149999999999999" customHeight="1" x14ac:dyDescent="0.2">
      <c r="A197" s="170" t="s">
        <v>1274</v>
      </c>
      <c r="B197" s="171" t="s">
        <v>1275</v>
      </c>
      <c r="C197" s="173" t="s">
        <v>797</v>
      </c>
      <c r="D197" s="165"/>
      <c r="E197" s="165"/>
      <c r="F197" s="165"/>
      <c r="G197" s="167">
        <v>0</v>
      </c>
      <c r="H197" s="167">
        <f>363.74-85.5798032799999</f>
        <v>278.1601967200001</v>
      </c>
      <c r="I197" s="167">
        <f t="shared" si="35"/>
        <v>278.1601967200001</v>
      </c>
      <c r="J197" s="167">
        <v>0</v>
      </c>
      <c r="K197" s="167">
        <f>1.51+3.5+0.28+0.28</f>
        <v>5.57</v>
      </c>
      <c r="L197" s="167">
        <f t="shared" si="28"/>
        <v>5.57</v>
      </c>
      <c r="M197" s="127">
        <v>0</v>
      </c>
      <c r="N197" s="167">
        <f t="shared" si="36"/>
        <v>272.59019672000011</v>
      </c>
      <c r="O197" s="167">
        <f t="shared" si="34"/>
        <v>272.59019672000011</v>
      </c>
      <c r="P197" s="184" t="s">
        <v>203</v>
      </c>
      <c r="Q197" s="187"/>
      <c r="R197" s="128">
        <v>0</v>
      </c>
      <c r="S197" s="128">
        <v>1</v>
      </c>
      <c r="T197" s="169">
        <v>0</v>
      </c>
      <c r="U197" s="169">
        <v>3750</v>
      </c>
      <c r="V197" s="169">
        <v>0</v>
      </c>
      <c r="W197" s="169">
        <v>0</v>
      </c>
      <c r="X197" s="169">
        <f t="shared" si="33"/>
        <v>0</v>
      </c>
    </row>
    <row r="198" spans="1:24" ht="16.149999999999999" customHeight="1" x14ac:dyDescent="0.2">
      <c r="A198" s="170" t="s">
        <v>1276</v>
      </c>
      <c r="B198" s="171" t="s">
        <v>1277</v>
      </c>
      <c r="C198" s="173"/>
      <c r="D198" s="165"/>
      <c r="E198" s="165"/>
      <c r="F198" s="165"/>
      <c r="G198" s="167">
        <v>0</v>
      </c>
      <c r="H198" s="167">
        <f>355.65-45.55467113+3.1</f>
        <v>313.19532887000003</v>
      </c>
      <c r="I198" s="167">
        <f t="shared" si="35"/>
        <v>313.19532887000003</v>
      </c>
      <c r="J198" s="167">
        <v>0</v>
      </c>
      <c r="K198" s="167">
        <f>1.5+3.42+0.56</f>
        <v>5.48</v>
      </c>
      <c r="L198" s="167">
        <f t="shared" si="28"/>
        <v>5.48</v>
      </c>
      <c r="M198" s="127">
        <v>0</v>
      </c>
      <c r="N198" s="167">
        <f t="shared" si="36"/>
        <v>307.71532887000001</v>
      </c>
      <c r="O198" s="167">
        <f t="shared" si="34"/>
        <v>307.71532887000001</v>
      </c>
      <c r="P198" s="184" t="s">
        <v>203</v>
      </c>
      <c r="Q198" s="187"/>
      <c r="R198" s="128">
        <v>0</v>
      </c>
      <c r="S198" s="128">
        <v>1</v>
      </c>
      <c r="T198" s="169">
        <v>0</v>
      </c>
      <c r="U198" s="169">
        <v>4129</v>
      </c>
      <c r="V198" s="169">
        <v>0</v>
      </c>
      <c r="W198" s="169">
        <v>0</v>
      </c>
      <c r="X198" s="169">
        <f t="shared" si="33"/>
        <v>0</v>
      </c>
    </row>
    <row r="199" spans="1:24" ht="16.149999999999999" customHeight="1" x14ac:dyDescent="0.2">
      <c r="A199" s="186" t="s">
        <v>545</v>
      </c>
      <c r="B199" s="171" t="s">
        <v>546</v>
      </c>
      <c r="C199" s="171"/>
      <c r="D199" s="165"/>
      <c r="E199" s="165"/>
      <c r="F199" s="165"/>
      <c r="G199" s="167">
        <f>551.46+95.21</f>
        <v>646.67000000000007</v>
      </c>
      <c r="H199" s="167">
        <v>0</v>
      </c>
      <c r="I199" s="167">
        <f t="shared" si="35"/>
        <v>646.67000000000007</v>
      </c>
      <c r="J199" s="167">
        <f>496.31+55.15+95.21</f>
        <v>646.67000000000007</v>
      </c>
      <c r="K199" s="167">
        <v>0</v>
      </c>
      <c r="L199" s="167">
        <f t="shared" si="28"/>
        <v>646.67000000000007</v>
      </c>
      <c r="M199" s="127">
        <f t="shared" ref="M199:M206" si="37">G199-J199</f>
        <v>0</v>
      </c>
      <c r="N199" s="167">
        <f t="shared" si="36"/>
        <v>0</v>
      </c>
      <c r="O199" s="167">
        <f t="shared" si="34"/>
        <v>0</v>
      </c>
      <c r="P199" s="178" t="s">
        <v>203</v>
      </c>
      <c r="Q199" s="168"/>
      <c r="R199" s="128">
        <v>1</v>
      </c>
      <c r="S199" s="128">
        <v>1</v>
      </c>
      <c r="T199" s="174">
        <f>29+5</f>
        <v>34</v>
      </c>
      <c r="U199" s="174">
        <f>29+5</f>
        <v>34</v>
      </c>
      <c r="V199" s="174">
        <v>0</v>
      </c>
      <c r="W199" s="174">
        <v>34</v>
      </c>
      <c r="X199" s="169">
        <f t="shared" si="33"/>
        <v>0</v>
      </c>
    </row>
    <row r="200" spans="1:24" ht="16.149999999999999" customHeight="1" x14ac:dyDescent="0.2">
      <c r="A200" s="186" t="s">
        <v>798</v>
      </c>
      <c r="B200" s="171">
        <v>43367</v>
      </c>
      <c r="C200" s="171"/>
      <c r="D200" s="165"/>
      <c r="E200" s="165"/>
      <c r="F200" s="165"/>
      <c r="G200" s="167">
        <v>110.57</v>
      </c>
      <c r="H200" s="167">
        <v>0</v>
      </c>
      <c r="I200" s="167">
        <f t="shared" si="35"/>
        <v>110.57</v>
      </c>
      <c r="J200" s="167">
        <f>58.86+3.62+6.11+12.91+0.6+1.02+2.03+1.21+24.21</f>
        <v>110.57</v>
      </c>
      <c r="K200" s="167">
        <v>0</v>
      </c>
      <c r="L200" s="167">
        <f t="shared" si="28"/>
        <v>110.57</v>
      </c>
      <c r="M200" s="127">
        <f t="shared" si="37"/>
        <v>0</v>
      </c>
      <c r="N200" s="167">
        <f t="shared" si="36"/>
        <v>0</v>
      </c>
      <c r="O200" s="167">
        <f t="shared" si="34"/>
        <v>0</v>
      </c>
      <c r="P200" s="167">
        <f>0</f>
        <v>0</v>
      </c>
      <c r="Q200" s="168"/>
      <c r="R200" s="128">
        <v>1</v>
      </c>
      <c r="S200" s="128">
        <v>0</v>
      </c>
      <c r="T200" s="174">
        <v>9</v>
      </c>
      <c r="U200" s="174">
        <v>9</v>
      </c>
      <c r="V200" s="174">
        <v>0</v>
      </c>
      <c r="W200" s="174">
        <v>9</v>
      </c>
      <c r="X200" s="169">
        <f t="shared" si="33"/>
        <v>0</v>
      </c>
    </row>
    <row r="201" spans="1:24" ht="16.149999999999999" customHeight="1" x14ac:dyDescent="0.2">
      <c r="A201" s="186" t="s">
        <v>778</v>
      </c>
      <c r="B201" s="171">
        <v>43384</v>
      </c>
      <c r="C201" s="171" t="s">
        <v>203</v>
      </c>
      <c r="D201" s="165" t="s">
        <v>203</v>
      </c>
      <c r="E201" s="165" t="s">
        <v>203</v>
      </c>
      <c r="F201" s="165" t="s">
        <v>203</v>
      </c>
      <c r="G201" s="167">
        <v>170.76</v>
      </c>
      <c r="H201" s="167">
        <v>0</v>
      </c>
      <c r="I201" s="167">
        <f t="shared" si="35"/>
        <v>170.76</v>
      </c>
      <c r="J201" s="167">
        <v>170.76</v>
      </c>
      <c r="K201" s="167">
        <v>0</v>
      </c>
      <c r="L201" s="167">
        <f t="shared" si="28"/>
        <v>170.76</v>
      </c>
      <c r="M201" s="127">
        <f t="shared" si="37"/>
        <v>0</v>
      </c>
      <c r="N201" s="167">
        <f t="shared" si="36"/>
        <v>0</v>
      </c>
      <c r="O201" s="167">
        <f t="shared" si="34"/>
        <v>0</v>
      </c>
      <c r="P201" s="167" t="s">
        <v>203</v>
      </c>
      <c r="Q201" s="168"/>
      <c r="R201" s="128">
        <v>1</v>
      </c>
      <c r="S201" s="128">
        <v>1</v>
      </c>
      <c r="T201" s="174">
        <v>8</v>
      </c>
      <c r="U201" s="174">
        <v>8</v>
      </c>
      <c r="V201" s="174">
        <v>0</v>
      </c>
      <c r="W201" s="174">
        <v>8</v>
      </c>
      <c r="X201" s="169">
        <f t="shared" si="33"/>
        <v>0</v>
      </c>
    </row>
    <row r="202" spans="1:24" ht="16.149999999999999" customHeight="1" x14ac:dyDescent="0.2">
      <c r="A202" s="182" t="s">
        <v>547</v>
      </c>
      <c r="B202" s="177" t="s">
        <v>799</v>
      </c>
      <c r="C202" s="171">
        <v>44313</v>
      </c>
      <c r="D202" s="165" t="s">
        <v>1278</v>
      </c>
      <c r="E202" s="165" t="s">
        <v>1279</v>
      </c>
      <c r="F202" s="165" t="s">
        <v>1280</v>
      </c>
      <c r="G202" s="167">
        <v>2038.18</v>
      </c>
      <c r="H202" s="167">
        <v>0</v>
      </c>
      <c r="I202" s="167">
        <f t="shared" si="35"/>
        <v>2038.18</v>
      </c>
      <c r="J202" s="167">
        <f>102+20.47+33.61+22.2+73.55+37.94+51.81+32.1+2.51+65.81+52+117.17+55.1+13.48+53.29+26.72+78.49+54.15+23.45+28.37+3.88+36.81+40.19+12.86+43.5+30.55+39.89+38.12+2.24+40.82+25.48+37.92+32.66+13.06+18.68+27.83+19.77+51.07+23.92+2.27+23.29+8.61+31.26+9.92+17.64+15.98+29.58+11.8+3.63+16.24</f>
        <v>1653.69</v>
      </c>
      <c r="K202" s="167">
        <v>0</v>
      </c>
      <c r="L202" s="167">
        <f t="shared" si="28"/>
        <v>1653.69</v>
      </c>
      <c r="M202" s="127">
        <f t="shared" si="37"/>
        <v>384.49</v>
      </c>
      <c r="N202" s="167">
        <f t="shared" si="36"/>
        <v>0</v>
      </c>
      <c r="O202" s="167">
        <f t="shared" si="34"/>
        <v>384.49</v>
      </c>
      <c r="P202" s="178">
        <f>102+20.47+33.61+22.2+73.55+37.94+51.81+32.1+2.51+65.81+52+117.17+55.1+13.48+53.29+26.72+78.49+54.15+23.45+28.37+3.88+36.81+40.19+12.86+43.5+30.55+39.89+38.12+2.24+40.82+25.48+37.92+32.66+13.06+18.68+27.83+19.77+51.07+23.92+2.27+23.29+8.61+31.26+9.92+17.64+15.98+29.58+11.8+3.63+16.24</f>
        <v>1653.69</v>
      </c>
      <c r="Q202" s="168"/>
      <c r="R202" s="128">
        <v>0.80189999999999995</v>
      </c>
      <c r="S202" s="128">
        <v>1</v>
      </c>
      <c r="T202" s="169">
        <v>74</v>
      </c>
      <c r="U202" s="169">
        <v>74</v>
      </c>
      <c r="V202" s="169">
        <v>0</v>
      </c>
      <c r="W202" s="169">
        <v>0</v>
      </c>
      <c r="X202" s="169">
        <f t="shared" si="33"/>
        <v>74</v>
      </c>
    </row>
    <row r="203" spans="1:24" ht="16.149999999999999" customHeight="1" x14ac:dyDescent="0.2">
      <c r="A203" s="186" t="s">
        <v>800</v>
      </c>
      <c r="B203" s="177" t="s">
        <v>801</v>
      </c>
      <c r="C203" s="171">
        <v>44787</v>
      </c>
      <c r="D203" s="165"/>
      <c r="E203" s="165"/>
      <c r="F203" s="165"/>
      <c r="G203" s="167">
        <f>4147.03+1319.24</f>
        <v>5466.2699999999995</v>
      </c>
      <c r="H203" s="167">
        <v>0</v>
      </c>
      <c r="I203" s="167">
        <f t="shared" si="35"/>
        <v>5466.2699999999995</v>
      </c>
      <c r="J203" s="167">
        <f>814.94+384.05+100.73+200.8+111.4+32.6+4.92+121.57+78.09+62.19+4.25+73.85+83.53+320.38+96.21+245.9+6.24+313.57+48.84+2.31+62.16+151.97+41.41+27.51+23.14+72.54+26.05+47.41+4+55.81+73.39+82.25+239.71+23.4+33.72+44.33+16.38+76.18+125.62+55.29+6.99+42.19+102.84</f>
        <v>4540.66</v>
      </c>
      <c r="K203" s="167">
        <v>0</v>
      </c>
      <c r="L203" s="167">
        <f t="shared" si="28"/>
        <v>4540.66</v>
      </c>
      <c r="M203" s="127">
        <f t="shared" si="37"/>
        <v>925.60999999999967</v>
      </c>
      <c r="N203" s="167">
        <f t="shared" si="36"/>
        <v>0</v>
      </c>
      <c r="O203" s="167">
        <f t="shared" si="34"/>
        <v>925.60999999999967</v>
      </c>
      <c r="P203" s="178">
        <f>814.94+384.05+100.73+200.8+111.4+32.6+4.92+121.57+78.09+62.19+4.25+73.85+83.53+320.38+96.21+245.9+6.24+313.57+48.84+2.31+62.16+151.97+41.41+27.51+23.14+72.54+26.05+47.41+4+55.81+73.39+82.25+239.71+23.4+33.72+44.33+16.38+76.18+125.62+55.29+6.99+42.19+102.84</f>
        <v>4540.66</v>
      </c>
      <c r="Q203" s="168"/>
      <c r="R203" s="128">
        <v>0.45650000000000002</v>
      </c>
      <c r="S203" s="128">
        <v>1</v>
      </c>
      <c r="T203" s="174">
        <v>160</v>
      </c>
      <c r="U203" s="174">
        <v>160</v>
      </c>
      <c r="V203" s="174">
        <v>0</v>
      </c>
      <c r="W203" s="174">
        <v>0</v>
      </c>
      <c r="X203" s="169">
        <f>T203-W203</f>
        <v>160</v>
      </c>
    </row>
    <row r="204" spans="1:24" ht="16.149999999999999" customHeight="1" x14ac:dyDescent="0.2">
      <c r="A204" s="186" t="s">
        <v>802</v>
      </c>
      <c r="B204" s="177" t="s">
        <v>1281</v>
      </c>
      <c r="C204" s="171">
        <v>44315</v>
      </c>
      <c r="D204" s="165"/>
      <c r="E204" s="165" t="s">
        <v>1282</v>
      </c>
      <c r="F204" s="165" t="s">
        <v>1282</v>
      </c>
      <c r="G204" s="167">
        <f>1772.08+0.4907967</f>
        <v>1772.5707966999998</v>
      </c>
      <c r="H204" s="167">
        <v>0</v>
      </c>
      <c r="I204" s="167">
        <f t="shared" si="35"/>
        <v>1772.5707966999998</v>
      </c>
      <c r="J204" s="167">
        <f>222.68+257.07+92.01+43.39+45.94+52.44+80.64+56.98+91.79+121.77+102.04+55.27+48.68+21.07+6.6+34.25+18.79+24.64+39.22+33.3+38.65+51.68+21.27+6.57+10.58+43.73+1.26+1.24+1.23+1.54</f>
        <v>1626.32</v>
      </c>
      <c r="K204" s="167">
        <v>0</v>
      </c>
      <c r="L204" s="167">
        <f t="shared" si="28"/>
        <v>1626.32</v>
      </c>
      <c r="M204" s="127">
        <f t="shared" si="37"/>
        <v>146.25079669999991</v>
      </c>
      <c r="N204" s="167">
        <f t="shared" si="36"/>
        <v>0</v>
      </c>
      <c r="O204" s="167">
        <f t="shared" si="34"/>
        <v>146.25079669999991</v>
      </c>
      <c r="P204" s="178">
        <f>222.68+257.07+92.01+43.39+45.94+52.44+80.64+56.98+91.79+121.77+102.04+55.27+48.68+21.07+6.6+34.25+18.79+24.64+39.22+33.3+38.65+51.68+21.27+6.57-914.08+10.58+43.73+1.26-99.34+1.24+1.23-97.78+1.54</f>
        <v>515.12</v>
      </c>
      <c r="Q204" s="168"/>
      <c r="R204" s="128">
        <v>0.92520000000000002</v>
      </c>
      <c r="S204" s="128">
        <v>1</v>
      </c>
      <c r="T204" s="174">
        <v>54</v>
      </c>
      <c r="U204" s="174">
        <v>54</v>
      </c>
      <c r="V204" s="174">
        <v>5</v>
      </c>
      <c r="W204" s="174">
        <v>34</v>
      </c>
      <c r="X204" s="169">
        <f>T204-W204</f>
        <v>20</v>
      </c>
    </row>
    <row r="205" spans="1:24" ht="16.149999999999999" customHeight="1" x14ac:dyDescent="0.2">
      <c r="A205" s="186" t="s">
        <v>1283</v>
      </c>
      <c r="B205" s="171" t="s">
        <v>1284</v>
      </c>
      <c r="C205" s="169"/>
      <c r="D205" s="165"/>
      <c r="E205" s="165"/>
      <c r="F205" s="165"/>
      <c r="G205" s="167">
        <f>99.06+4.31095+1.695</f>
        <v>105.06595</v>
      </c>
      <c r="H205" s="167">
        <v>0</v>
      </c>
      <c r="I205" s="167">
        <f t="shared" si="35"/>
        <v>105.06595</v>
      </c>
      <c r="J205" s="167">
        <f>7.99+6.5+2.15+0.85+0.72</f>
        <v>18.21</v>
      </c>
      <c r="K205" s="167">
        <v>0</v>
      </c>
      <c r="L205" s="167">
        <f t="shared" si="28"/>
        <v>18.21</v>
      </c>
      <c r="M205" s="127">
        <f t="shared" si="37"/>
        <v>86.855950000000007</v>
      </c>
      <c r="N205" s="167">
        <f t="shared" si="36"/>
        <v>0</v>
      </c>
      <c r="O205" s="167">
        <f t="shared" si="34"/>
        <v>86.855950000000007</v>
      </c>
      <c r="P205" s="178">
        <f>7.99+6.5+2.15+0.85+0.72</f>
        <v>18.21</v>
      </c>
      <c r="Q205" s="187"/>
      <c r="R205" s="128">
        <v>0</v>
      </c>
      <c r="S205" s="128">
        <v>0</v>
      </c>
      <c r="T205" s="169">
        <v>0</v>
      </c>
      <c r="U205" s="169">
        <v>0</v>
      </c>
      <c r="V205" s="169">
        <v>0</v>
      </c>
      <c r="W205" s="169">
        <v>0</v>
      </c>
      <c r="X205" s="169">
        <f>T205-W205</f>
        <v>0</v>
      </c>
    </row>
    <row r="206" spans="1:24" ht="16.149999999999999" customHeight="1" x14ac:dyDescent="0.2">
      <c r="A206" s="186" t="s">
        <v>1285</v>
      </c>
      <c r="B206" s="171" t="s">
        <v>1286</v>
      </c>
      <c r="C206" s="169"/>
      <c r="D206" s="165"/>
      <c r="E206" s="165"/>
      <c r="F206" s="165"/>
      <c r="G206" s="167">
        <v>25.90105329</v>
      </c>
      <c r="H206" s="167">
        <v>0</v>
      </c>
      <c r="I206" s="167">
        <f t="shared" si="35"/>
        <v>25.90105329</v>
      </c>
      <c r="J206" s="167">
        <v>0</v>
      </c>
      <c r="K206" s="167">
        <v>0</v>
      </c>
      <c r="L206" s="167">
        <f t="shared" si="28"/>
        <v>0</v>
      </c>
      <c r="M206" s="127">
        <f t="shared" si="37"/>
        <v>25.90105329</v>
      </c>
      <c r="N206" s="167">
        <f t="shared" si="36"/>
        <v>0</v>
      </c>
      <c r="O206" s="167">
        <f t="shared" si="34"/>
        <v>25.90105329</v>
      </c>
      <c r="P206" s="178">
        <f>7.99+6.5+2.15+0.85+0.72</f>
        <v>18.21</v>
      </c>
      <c r="Q206" s="187"/>
      <c r="R206" s="128">
        <v>0</v>
      </c>
      <c r="S206" s="128">
        <v>0</v>
      </c>
      <c r="T206" s="169">
        <v>0</v>
      </c>
      <c r="U206" s="169">
        <v>0</v>
      </c>
      <c r="V206" s="169">
        <v>0</v>
      </c>
      <c r="W206" s="169">
        <v>0</v>
      </c>
      <c r="X206" s="169">
        <f>T206-W206</f>
        <v>0</v>
      </c>
    </row>
    <row r="207" spans="1:24" ht="16.149999999999999" customHeight="1" x14ac:dyDescent="0.2">
      <c r="A207" s="189" t="s">
        <v>0</v>
      </c>
      <c r="B207" s="189"/>
      <c r="C207" s="189"/>
      <c r="D207" s="189"/>
      <c r="E207" s="189"/>
      <c r="F207" s="189"/>
      <c r="G207" s="190">
        <f t="shared" ref="G207:P207" si="38">SUM(G142:G206)</f>
        <v>45177.008155669995</v>
      </c>
      <c r="H207" s="190">
        <f t="shared" si="38"/>
        <v>8356.0840284599999</v>
      </c>
      <c r="I207" s="190">
        <f t="shared" si="38"/>
        <v>53510.583111439984</v>
      </c>
      <c r="J207" s="190">
        <f t="shared" si="38"/>
        <v>42336.30045142</v>
      </c>
      <c r="K207" s="190">
        <f t="shared" si="38"/>
        <v>5127.4349999999995</v>
      </c>
      <c r="L207" s="190">
        <f t="shared" si="38"/>
        <v>47463.735451420012</v>
      </c>
      <c r="M207" s="190">
        <f t="shared" si="38"/>
        <v>2819.7000122500003</v>
      </c>
      <c r="N207" s="190">
        <f t="shared" si="38"/>
        <v>3228.6490284599995</v>
      </c>
      <c r="O207" s="190">
        <f t="shared" si="38"/>
        <v>6048.3490407099998</v>
      </c>
      <c r="P207" s="190">
        <f t="shared" si="38"/>
        <v>8298.0398930099982</v>
      </c>
      <c r="Q207" s="191"/>
      <c r="R207" s="190"/>
      <c r="S207" s="190"/>
      <c r="T207" s="190">
        <f>SUM(T142:T206)</f>
        <v>3558</v>
      </c>
      <c r="U207" s="190">
        <f>SUM(U142:U206)</f>
        <v>19622</v>
      </c>
      <c r="V207" s="190">
        <f>SUM(V142:V206)</f>
        <v>46</v>
      </c>
      <c r="W207" s="190">
        <f>SUM(W142:W206)</f>
        <v>2727</v>
      </c>
      <c r="X207" s="190">
        <f>SUM(X142:X206)</f>
        <v>831</v>
      </c>
    </row>
    <row r="208" spans="1:24" ht="16.149999999999999" customHeight="1" x14ac:dyDescent="0.2">
      <c r="A208" s="155"/>
      <c r="B208" s="156"/>
      <c r="C208" s="156"/>
      <c r="D208" s="156"/>
      <c r="E208" s="156"/>
      <c r="F208" s="156"/>
      <c r="G208" s="156"/>
      <c r="H208" s="156"/>
      <c r="I208" s="156"/>
      <c r="J208" s="156"/>
      <c r="K208" s="156"/>
      <c r="L208" s="146"/>
      <c r="M208" s="126"/>
      <c r="N208" s="146"/>
      <c r="O208" s="146"/>
      <c r="P208" s="146"/>
      <c r="Q208" s="146"/>
      <c r="R208" s="161"/>
      <c r="S208" s="161"/>
      <c r="T208" s="156"/>
      <c r="U208" s="156"/>
      <c r="V208" s="156"/>
      <c r="W208" s="156"/>
      <c r="X208" s="156"/>
    </row>
    <row r="209" spans="1:24" ht="16.149999999999999" customHeight="1" x14ac:dyDescent="0.2">
      <c r="A209" s="192" t="s">
        <v>1</v>
      </c>
      <c r="B209" s="193"/>
      <c r="C209" s="193"/>
      <c r="D209" s="193"/>
      <c r="E209" s="193"/>
      <c r="F209" s="193"/>
      <c r="G209" s="193"/>
      <c r="H209" s="193"/>
      <c r="I209" s="193"/>
      <c r="J209" s="193"/>
      <c r="K209" s="193"/>
      <c r="L209" s="194"/>
      <c r="M209" s="129"/>
      <c r="N209" s="194"/>
      <c r="O209" s="194"/>
      <c r="P209" s="194"/>
      <c r="Q209" s="194"/>
      <c r="R209" s="195"/>
      <c r="S209" s="195"/>
      <c r="T209" s="155"/>
      <c r="U209" s="155"/>
      <c r="V209" s="155"/>
      <c r="W209" s="155"/>
      <c r="X209" s="155"/>
    </row>
    <row r="210" spans="1:24" ht="16.149999999999999" customHeight="1" x14ac:dyDescent="0.2">
      <c r="A210" s="170" t="s">
        <v>803</v>
      </c>
      <c r="B210" s="171">
        <v>36876</v>
      </c>
      <c r="C210" s="171">
        <v>37079</v>
      </c>
      <c r="D210" s="165"/>
      <c r="E210" s="165"/>
      <c r="F210" s="165">
        <v>37621</v>
      </c>
      <c r="G210" s="167">
        <v>234.89</v>
      </c>
      <c r="H210" s="167">
        <v>0</v>
      </c>
      <c r="I210" s="167">
        <f t="shared" ref="I210:I241" si="39">G210+H210</f>
        <v>234.89</v>
      </c>
      <c r="J210" s="167">
        <v>234.89</v>
      </c>
      <c r="K210" s="167">
        <v>0</v>
      </c>
      <c r="L210" s="167">
        <f t="shared" ref="L210:L273" si="40">J210+K210</f>
        <v>234.89</v>
      </c>
      <c r="M210" s="127">
        <f t="shared" ref="M210:M241" si="41">G210-J210</f>
        <v>0</v>
      </c>
      <c r="N210" s="167">
        <f t="shared" ref="N210:N241" si="42">H210-K210</f>
        <v>0</v>
      </c>
      <c r="O210" s="167">
        <f t="shared" ref="O210:O241" si="43">M210+N210</f>
        <v>0</v>
      </c>
      <c r="P210" s="167">
        <v>0</v>
      </c>
      <c r="Q210" s="187"/>
      <c r="R210" s="128">
        <v>1</v>
      </c>
      <c r="S210" s="128">
        <v>1</v>
      </c>
      <c r="T210" s="169">
        <v>76</v>
      </c>
      <c r="U210" s="169">
        <v>76</v>
      </c>
      <c r="V210" s="169">
        <v>0</v>
      </c>
      <c r="W210" s="169">
        <f>74+2</f>
        <v>76</v>
      </c>
      <c r="X210" s="169">
        <f>T210-W210</f>
        <v>0</v>
      </c>
    </row>
    <row r="211" spans="1:24" ht="16.149999999999999" customHeight="1" x14ac:dyDescent="0.2">
      <c r="A211" s="170" t="s">
        <v>804</v>
      </c>
      <c r="B211" s="171">
        <v>36876</v>
      </c>
      <c r="C211" s="171">
        <v>37094</v>
      </c>
      <c r="D211" s="165"/>
      <c r="E211" s="165"/>
      <c r="F211" s="165">
        <v>37361</v>
      </c>
      <c r="G211" s="167">
        <v>482.42</v>
      </c>
      <c r="H211" s="167">
        <v>0</v>
      </c>
      <c r="I211" s="167">
        <f t="shared" si="39"/>
        <v>482.42</v>
      </c>
      <c r="J211" s="167">
        <v>482.42</v>
      </c>
      <c r="K211" s="167">
        <v>0</v>
      </c>
      <c r="L211" s="167">
        <f t="shared" si="40"/>
        <v>482.42</v>
      </c>
      <c r="M211" s="127">
        <f t="shared" si="41"/>
        <v>0</v>
      </c>
      <c r="N211" s="167">
        <f t="shared" si="42"/>
        <v>0</v>
      </c>
      <c r="O211" s="167">
        <f t="shared" si="43"/>
        <v>0</v>
      </c>
      <c r="P211" s="167">
        <v>0</v>
      </c>
      <c r="Q211" s="187"/>
      <c r="R211" s="128">
        <v>1</v>
      </c>
      <c r="S211" s="128">
        <v>1</v>
      </c>
      <c r="T211" s="169">
        <v>216</v>
      </c>
      <c r="U211" s="169">
        <v>216</v>
      </c>
      <c r="V211" s="169">
        <v>0</v>
      </c>
      <c r="W211" s="169">
        <v>215</v>
      </c>
      <c r="X211" s="169">
        <f t="shared" ref="X211:X274" si="44">T211-W211</f>
        <v>1</v>
      </c>
    </row>
    <row r="212" spans="1:24" ht="16.149999999999999" customHeight="1" x14ac:dyDescent="0.2">
      <c r="A212" s="170" t="s">
        <v>805</v>
      </c>
      <c r="B212" s="171">
        <v>36708</v>
      </c>
      <c r="C212" s="171">
        <v>36916</v>
      </c>
      <c r="D212" s="165"/>
      <c r="E212" s="165"/>
      <c r="F212" s="165">
        <v>37498</v>
      </c>
      <c r="G212" s="167">
        <f>26.502+147.2</f>
        <v>173.702</v>
      </c>
      <c r="H212" s="167">
        <v>0</v>
      </c>
      <c r="I212" s="167">
        <f t="shared" si="39"/>
        <v>173.702</v>
      </c>
      <c r="J212" s="167">
        <f>147.2+26.502</f>
        <v>173.702</v>
      </c>
      <c r="K212" s="167">
        <v>0</v>
      </c>
      <c r="L212" s="167">
        <f t="shared" si="40"/>
        <v>173.702</v>
      </c>
      <c r="M212" s="127">
        <f t="shared" si="41"/>
        <v>0</v>
      </c>
      <c r="N212" s="167">
        <f t="shared" si="42"/>
        <v>0</v>
      </c>
      <c r="O212" s="167">
        <f t="shared" si="43"/>
        <v>0</v>
      </c>
      <c r="P212" s="167">
        <v>0</v>
      </c>
      <c r="Q212" s="187"/>
      <c r="R212" s="128">
        <v>1</v>
      </c>
      <c r="S212" s="128">
        <v>1</v>
      </c>
      <c r="T212" s="169">
        <f>78+10</f>
        <v>88</v>
      </c>
      <c r="U212" s="169">
        <f>78+10</f>
        <v>88</v>
      </c>
      <c r="V212" s="169">
        <v>0</v>
      </c>
      <c r="W212" s="169">
        <v>88</v>
      </c>
      <c r="X212" s="169">
        <f t="shared" si="44"/>
        <v>0</v>
      </c>
    </row>
    <row r="213" spans="1:24" ht="16.149999999999999" customHeight="1" x14ac:dyDescent="0.2">
      <c r="A213" s="170" t="s">
        <v>806</v>
      </c>
      <c r="B213" s="171">
        <v>36931</v>
      </c>
      <c r="C213" s="171">
        <v>37051</v>
      </c>
      <c r="D213" s="165"/>
      <c r="E213" s="165"/>
      <c r="F213" s="165"/>
      <c r="G213" s="167">
        <v>145.78</v>
      </c>
      <c r="H213" s="167">
        <v>0</v>
      </c>
      <c r="I213" s="167">
        <f t="shared" si="39"/>
        <v>145.78</v>
      </c>
      <c r="J213" s="167">
        <v>145.78</v>
      </c>
      <c r="K213" s="167">
        <v>0</v>
      </c>
      <c r="L213" s="167">
        <f t="shared" si="40"/>
        <v>145.78</v>
      </c>
      <c r="M213" s="127">
        <f t="shared" si="41"/>
        <v>0</v>
      </c>
      <c r="N213" s="167">
        <f t="shared" si="42"/>
        <v>0</v>
      </c>
      <c r="O213" s="167">
        <f t="shared" si="43"/>
        <v>0</v>
      </c>
      <c r="P213" s="167">
        <v>0</v>
      </c>
      <c r="Q213" s="187"/>
      <c r="R213" s="128">
        <v>1</v>
      </c>
      <c r="S213" s="128">
        <v>1</v>
      </c>
      <c r="T213" s="169">
        <f>68+1</f>
        <v>69</v>
      </c>
      <c r="U213" s="169">
        <v>68</v>
      </c>
      <c r="V213" s="169">
        <v>0</v>
      </c>
      <c r="W213" s="169">
        <v>65</v>
      </c>
      <c r="X213" s="169">
        <f t="shared" si="44"/>
        <v>4</v>
      </c>
    </row>
    <row r="214" spans="1:24" ht="16.149999999999999" customHeight="1" x14ac:dyDescent="0.2">
      <c r="A214" s="170" t="s">
        <v>483</v>
      </c>
      <c r="B214" s="171">
        <v>37111</v>
      </c>
      <c r="C214" s="171">
        <v>37301</v>
      </c>
      <c r="D214" s="165"/>
      <c r="E214" s="165"/>
      <c r="F214" s="165">
        <v>38807</v>
      </c>
      <c r="G214" s="167">
        <v>421.2</v>
      </c>
      <c r="H214" s="167">
        <v>0</v>
      </c>
      <c r="I214" s="167">
        <f t="shared" si="39"/>
        <v>421.2</v>
      </c>
      <c r="J214" s="167">
        <f>129.6+100+191.6</f>
        <v>421.2</v>
      </c>
      <c r="K214" s="167">
        <v>0</v>
      </c>
      <c r="L214" s="167">
        <f t="shared" si="40"/>
        <v>421.2</v>
      </c>
      <c r="M214" s="127">
        <f t="shared" si="41"/>
        <v>0</v>
      </c>
      <c r="N214" s="167">
        <f t="shared" si="42"/>
        <v>0</v>
      </c>
      <c r="O214" s="167">
        <f t="shared" si="43"/>
        <v>0</v>
      </c>
      <c r="P214" s="167">
        <v>0</v>
      </c>
      <c r="Q214" s="187"/>
      <c r="R214" s="128">
        <v>1</v>
      </c>
      <c r="S214" s="128">
        <v>1</v>
      </c>
      <c r="T214" s="169">
        <v>162</v>
      </c>
      <c r="U214" s="169">
        <v>162</v>
      </c>
      <c r="V214" s="169">
        <v>0</v>
      </c>
      <c r="W214" s="169">
        <v>162</v>
      </c>
      <c r="X214" s="169">
        <f t="shared" si="44"/>
        <v>0</v>
      </c>
    </row>
    <row r="215" spans="1:24" ht="16.149999999999999" customHeight="1" x14ac:dyDescent="0.2">
      <c r="A215" s="170" t="s">
        <v>593</v>
      </c>
      <c r="B215" s="171">
        <v>37146</v>
      </c>
      <c r="C215" s="171">
        <v>37333</v>
      </c>
      <c r="D215" s="165"/>
      <c r="E215" s="165"/>
      <c r="F215" s="165">
        <v>37955</v>
      </c>
      <c r="G215" s="167">
        <v>83.545000000000002</v>
      </c>
      <c r="H215" s="167">
        <v>0</v>
      </c>
      <c r="I215" s="167">
        <f t="shared" si="39"/>
        <v>83.545000000000002</v>
      </c>
      <c r="J215" s="167">
        <v>83.545000000000002</v>
      </c>
      <c r="K215" s="167">
        <v>0</v>
      </c>
      <c r="L215" s="167">
        <f t="shared" si="40"/>
        <v>83.545000000000002</v>
      </c>
      <c r="M215" s="127">
        <f t="shared" si="41"/>
        <v>0</v>
      </c>
      <c r="N215" s="167">
        <f t="shared" si="42"/>
        <v>0</v>
      </c>
      <c r="O215" s="167">
        <f t="shared" si="43"/>
        <v>0</v>
      </c>
      <c r="P215" s="167">
        <v>0</v>
      </c>
      <c r="Q215" s="187"/>
      <c r="R215" s="128">
        <v>1</v>
      </c>
      <c r="S215" s="128">
        <v>1</v>
      </c>
      <c r="T215" s="169">
        <v>30</v>
      </c>
      <c r="U215" s="169">
        <v>30</v>
      </c>
      <c r="V215" s="169">
        <v>0</v>
      </c>
      <c r="W215" s="169">
        <v>30</v>
      </c>
      <c r="X215" s="169">
        <f t="shared" si="44"/>
        <v>0</v>
      </c>
    </row>
    <row r="216" spans="1:24" ht="16.149999999999999" customHeight="1" x14ac:dyDescent="0.2">
      <c r="A216" s="170" t="s">
        <v>807</v>
      </c>
      <c r="B216" s="171">
        <v>37090</v>
      </c>
      <c r="C216" s="171">
        <v>37280</v>
      </c>
      <c r="D216" s="165"/>
      <c r="E216" s="165"/>
      <c r="F216" s="165">
        <v>38776</v>
      </c>
      <c r="G216" s="167">
        <f>60*((1200000+1800000+45000)/1000000)</f>
        <v>182.7</v>
      </c>
      <c r="H216" s="167">
        <v>0</v>
      </c>
      <c r="I216" s="167">
        <f t="shared" si="39"/>
        <v>182.7</v>
      </c>
      <c r="J216" s="167">
        <f>60*1.245+108</f>
        <v>182.7</v>
      </c>
      <c r="K216" s="167">
        <v>0</v>
      </c>
      <c r="L216" s="167">
        <f t="shared" si="40"/>
        <v>182.7</v>
      </c>
      <c r="M216" s="127">
        <f t="shared" si="41"/>
        <v>0</v>
      </c>
      <c r="N216" s="167">
        <f t="shared" si="42"/>
        <v>0</v>
      </c>
      <c r="O216" s="167">
        <f t="shared" si="43"/>
        <v>0</v>
      </c>
      <c r="P216" s="167">
        <v>0</v>
      </c>
      <c r="Q216" s="187"/>
      <c r="R216" s="128">
        <v>1</v>
      </c>
      <c r="S216" s="128">
        <v>1</v>
      </c>
      <c r="T216" s="169">
        <v>60</v>
      </c>
      <c r="U216" s="169">
        <v>60</v>
      </c>
      <c r="V216" s="169">
        <v>0</v>
      </c>
      <c r="W216" s="169">
        <v>60</v>
      </c>
      <c r="X216" s="169">
        <f t="shared" si="44"/>
        <v>0</v>
      </c>
    </row>
    <row r="217" spans="1:24" ht="16.149999999999999" customHeight="1" x14ac:dyDescent="0.2">
      <c r="A217" s="170" t="s">
        <v>808</v>
      </c>
      <c r="B217" s="171">
        <v>37090</v>
      </c>
      <c r="C217" s="171">
        <v>37280</v>
      </c>
      <c r="D217" s="165"/>
      <c r="E217" s="165"/>
      <c r="F217" s="165">
        <v>39447</v>
      </c>
      <c r="G217" s="167">
        <f>85*((725000+1800000+45000)/1000000)</f>
        <v>218.45</v>
      </c>
      <c r="H217" s="167">
        <v>0</v>
      </c>
      <c r="I217" s="167">
        <f t="shared" si="39"/>
        <v>218.45</v>
      </c>
      <c r="J217" s="167">
        <f>68*((725000+45000)/1000000)+13.09+153</f>
        <v>218.45</v>
      </c>
      <c r="K217" s="167">
        <v>0</v>
      </c>
      <c r="L217" s="167">
        <f t="shared" si="40"/>
        <v>218.45</v>
      </c>
      <c r="M217" s="127">
        <f t="shared" si="41"/>
        <v>0</v>
      </c>
      <c r="N217" s="167">
        <f t="shared" si="42"/>
        <v>0</v>
      </c>
      <c r="O217" s="167">
        <f t="shared" si="43"/>
        <v>0</v>
      </c>
      <c r="P217" s="167">
        <f>2.57-2.57</f>
        <v>0</v>
      </c>
      <c r="Q217" s="187"/>
      <c r="R217" s="128">
        <v>1</v>
      </c>
      <c r="S217" s="128">
        <v>1</v>
      </c>
      <c r="T217" s="169">
        <v>85</v>
      </c>
      <c r="U217" s="169">
        <v>85</v>
      </c>
      <c r="V217" s="169">
        <v>0</v>
      </c>
      <c r="W217" s="169">
        <v>85</v>
      </c>
      <c r="X217" s="169">
        <f t="shared" si="44"/>
        <v>0</v>
      </c>
    </row>
    <row r="218" spans="1:24" ht="16.149999999999999" customHeight="1" x14ac:dyDescent="0.2">
      <c r="A218" s="170" t="s">
        <v>809</v>
      </c>
      <c r="B218" s="171">
        <v>37090</v>
      </c>
      <c r="C218" s="171">
        <v>37280</v>
      </c>
      <c r="D218" s="165"/>
      <c r="E218" s="165"/>
      <c r="F218" s="165">
        <v>37802</v>
      </c>
      <c r="G218" s="167">
        <f>40*(650000+45000+1800000)/1000000</f>
        <v>99.8</v>
      </c>
      <c r="H218" s="167">
        <v>0</v>
      </c>
      <c r="I218" s="167">
        <f t="shared" si="39"/>
        <v>99.8</v>
      </c>
      <c r="J218" s="167">
        <f>40*(650000+45000)/1000000+28.8+43.2</f>
        <v>99.800000000000011</v>
      </c>
      <c r="K218" s="167">
        <v>0</v>
      </c>
      <c r="L218" s="167">
        <f t="shared" si="40"/>
        <v>99.800000000000011</v>
      </c>
      <c r="M218" s="127">
        <f t="shared" si="41"/>
        <v>0</v>
      </c>
      <c r="N218" s="167">
        <f t="shared" si="42"/>
        <v>0</v>
      </c>
      <c r="O218" s="167">
        <f t="shared" si="43"/>
        <v>0</v>
      </c>
      <c r="P218" s="167">
        <v>0</v>
      </c>
      <c r="Q218" s="187"/>
      <c r="R218" s="128">
        <v>1</v>
      </c>
      <c r="S218" s="128">
        <v>1</v>
      </c>
      <c r="T218" s="169">
        <v>40</v>
      </c>
      <c r="U218" s="169">
        <v>40</v>
      </c>
      <c r="V218" s="169">
        <v>0</v>
      </c>
      <c r="W218" s="169">
        <v>40</v>
      </c>
      <c r="X218" s="169">
        <f t="shared" si="44"/>
        <v>0</v>
      </c>
    </row>
    <row r="219" spans="1:24" ht="16.149999999999999" customHeight="1" x14ac:dyDescent="0.2">
      <c r="A219" s="170" t="s">
        <v>810</v>
      </c>
      <c r="B219" s="171">
        <v>37090</v>
      </c>
      <c r="C219" s="171">
        <v>37280</v>
      </c>
      <c r="D219" s="165"/>
      <c r="E219" s="165"/>
      <c r="F219" s="165">
        <v>38928</v>
      </c>
      <c r="G219" s="167">
        <f>60*(700000+1800000+45000)/1000000</f>
        <v>152.69999999999999</v>
      </c>
      <c r="H219" s="167">
        <v>0</v>
      </c>
      <c r="I219" s="167">
        <f t="shared" si="39"/>
        <v>152.69999999999999</v>
      </c>
      <c r="J219" s="167">
        <f>60*(700000+45000)/1000000+43.2+64.8</f>
        <v>152.69999999999999</v>
      </c>
      <c r="K219" s="167">
        <v>0</v>
      </c>
      <c r="L219" s="167">
        <f t="shared" si="40"/>
        <v>152.69999999999999</v>
      </c>
      <c r="M219" s="127">
        <f t="shared" si="41"/>
        <v>0</v>
      </c>
      <c r="N219" s="167">
        <f t="shared" si="42"/>
        <v>0</v>
      </c>
      <c r="O219" s="167">
        <f t="shared" si="43"/>
        <v>0</v>
      </c>
      <c r="P219" s="167">
        <v>0</v>
      </c>
      <c r="Q219" s="187"/>
      <c r="R219" s="128">
        <v>1</v>
      </c>
      <c r="S219" s="128">
        <v>1</v>
      </c>
      <c r="T219" s="169">
        <v>60</v>
      </c>
      <c r="U219" s="169">
        <v>60</v>
      </c>
      <c r="V219" s="169">
        <v>0</v>
      </c>
      <c r="W219" s="169">
        <v>59</v>
      </c>
      <c r="X219" s="169">
        <f t="shared" si="44"/>
        <v>1</v>
      </c>
    </row>
    <row r="220" spans="1:24" ht="16.149999999999999" customHeight="1" x14ac:dyDescent="0.2">
      <c r="A220" s="170" t="s">
        <v>811</v>
      </c>
      <c r="B220" s="171">
        <v>37090</v>
      </c>
      <c r="C220" s="171">
        <v>37280</v>
      </c>
      <c r="D220" s="165"/>
      <c r="E220" s="165"/>
      <c r="F220" s="165">
        <v>38960</v>
      </c>
      <c r="G220" s="167">
        <f>90*(750000+1800000+45000)/1000000</f>
        <v>233.55</v>
      </c>
      <c r="H220" s="167">
        <v>0</v>
      </c>
      <c r="I220" s="167">
        <f t="shared" si="39"/>
        <v>233.55</v>
      </c>
      <c r="J220" s="167">
        <f>90*(750000+45000)/1000000+64.8+97.2</f>
        <v>233.55</v>
      </c>
      <c r="K220" s="167">
        <v>0</v>
      </c>
      <c r="L220" s="167">
        <f t="shared" si="40"/>
        <v>233.55</v>
      </c>
      <c r="M220" s="127">
        <f t="shared" si="41"/>
        <v>0</v>
      </c>
      <c r="N220" s="167">
        <f t="shared" si="42"/>
        <v>0</v>
      </c>
      <c r="O220" s="167">
        <f t="shared" si="43"/>
        <v>0</v>
      </c>
      <c r="P220" s="167">
        <v>0</v>
      </c>
      <c r="Q220" s="187"/>
      <c r="R220" s="128">
        <v>1</v>
      </c>
      <c r="S220" s="128">
        <v>1</v>
      </c>
      <c r="T220" s="169">
        <v>90</v>
      </c>
      <c r="U220" s="169">
        <v>90</v>
      </c>
      <c r="V220" s="169">
        <v>0</v>
      </c>
      <c r="W220" s="169">
        <v>90</v>
      </c>
      <c r="X220" s="169">
        <f t="shared" si="44"/>
        <v>0</v>
      </c>
    </row>
    <row r="221" spans="1:24" ht="16.149999999999999" customHeight="1" x14ac:dyDescent="0.2">
      <c r="A221" s="170" t="s">
        <v>812</v>
      </c>
      <c r="B221" s="171">
        <v>37090</v>
      </c>
      <c r="C221" s="171">
        <v>37280</v>
      </c>
      <c r="D221" s="165"/>
      <c r="E221" s="165"/>
      <c r="F221" s="165">
        <v>38717</v>
      </c>
      <c r="G221" s="167">
        <f>64*(1000000+1800000+45000)/1000000</f>
        <v>182.08</v>
      </c>
      <c r="H221" s="167">
        <v>0</v>
      </c>
      <c r="I221" s="167">
        <f t="shared" si="39"/>
        <v>182.08</v>
      </c>
      <c r="J221" s="167">
        <f>64*(1000000+45000)/1000000+46.08+69.12</f>
        <v>182.07999999999998</v>
      </c>
      <c r="K221" s="167">
        <v>0</v>
      </c>
      <c r="L221" s="167">
        <f t="shared" si="40"/>
        <v>182.07999999999998</v>
      </c>
      <c r="M221" s="127">
        <f t="shared" si="41"/>
        <v>0</v>
      </c>
      <c r="N221" s="167">
        <f t="shared" si="42"/>
        <v>0</v>
      </c>
      <c r="O221" s="167">
        <f t="shared" si="43"/>
        <v>0</v>
      </c>
      <c r="P221" s="167">
        <v>0</v>
      </c>
      <c r="Q221" s="187"/>
      <c r="R221" s="128">
        <v>1</v>
      </c>
      <c r="S221" s="128">
        <v>1</v>
      </c>
      <c r="T221" s="169">
        <v>64</v>
      </c>
      <c r="U221" s="169">
        <v>64</v>
      </c>
      <c r="V221" s="169">
        <v>0</v>
      </c>
      <c r="W221" s="169">
        <v>64</v>
      </c>
      <c r="X221" s="169">
        <f t="shared" si="44"/>
        <v>0</v>
      </c>
    </row>
    <row r="222" spans="1:24" ht="16.149999999999999" customHeight="1" x14ac:dyDescent="0.2">
      <c r="A222" s="170" t="s">
        <v>813</v>
      </c>
      <c r="B222" s="171">
        <v>36931</v>
      </c>
      <c r="C222" s="171">
        <v>37080</v>
      </c>
      <c r="D222" s="165"/>
      <c r="E222" s="165"/>
      <c r="F222" s="165">
        <v>39538</v>
      </c>
      <c r="G222" s="167">
        <v>69.05</v>
      </c>
      <c r="H222" s="167">
        <v>0</v>
      </c>
      <c r="I222" s="167">
        <f t="shared" si="39"/>
        <v>69.05</v>
      </c>
      <c r="J222" s="167">
        <v>69.05</v>
      </c>
      <c r="K222" s="167">
        <v>0</v>
      </c>
      <c r="L222" s="167">
        <f t="shared" si="40"/>
        <v>69.05</v>
      </c>
      <c r="M222" s="127">
        <f t="shared" si="41"/>
        <v>0</v>
      </c>
      <c r="N222" s="167">
        <f t="shared" si="42"/>
        <v>0</v>
      </c>
      <c r="O222" s="167">
        <f t="shared" si="43"/>
        <v>0</v>
      </c>
      <c r="P222" s="167">
        <f>69.05-51.35-17.7</f>
        <v>0</v>
      </c>
      <c r="Q222" s="187"/>
      <c r="R222" s="128">
        <v>1</v>
      </c>
      <c r="S222" s="128">
        <v>1</v>
      </c>
      <c r="T222" s="169">
        <v>29</v>
      </c>
      <c r="U222" s="169">
        <v>29</v>
      </c>
      <c r="V222" s="169">
        <v>0</v>
      </c>
      <c r="W222" s="169">
        <v>29</v>
      </c>
      <c r="X222" s="169">
        <f t="shared" si="44"/>
        <v>0</v>
      </c>
    </row>
    <row r="223" spans="1:24" ht="16.149999999999999" customHeight="1" x14ac:dyDescent="0.2">
      <c r="A223" s="170" t="s">
        <v>814</v>
      </c>
      <c r="B223" s="171">
        <v>37045</v>
      </c>
      <c r="C223" s="171">
        <v>37244</v>
      </c>
      <c r="D223" s="165"/>
      <c r="E223" s="165"/>
      <c r="F223" s="165">
        <v>38807</v>
      </c>
      <c r="G223" s="167">
        <f>264.6+4.48</f>
        <v>269.08000000000004</v>
      </c>
      <c r="H223" s="167">
        <v>0</v>
      </c>
      <c r="I223" s="167">
        <f t="shared" si="39"/>
        <v>269.08000000000004</v>
      </c>
      <c r="J223" s="167">
        <f>264.6+4.48</f>
        <v>269.08000000000004</v>
      </c>
      <c r="K223" s="167">
        <v>0</v>
      </c>
      <c r="L223" s="167">
        <f t="shared" si="40"/>
        <v>269.08000000000004</v>
      </c>
      <c r="M223" s="127">
        <f t="shared" si="41"/>
        <v>0</v>
      </c>
      <c r="N223" s="167">
        <f t="shared" si="42"/>
        <v>0</v>
      </c>
      <c r="O223" s="167">
        <f t="shared" si="43"/>
        <v>0</v>
      </c>
      <c r="P223" s="167">
        <v>0</v>
      </c>
      <c r="Q223" s="187"/>
      <c r="R223" s="128">
        <v>1</v>
      </c>
      <c r="S223" s="128">
        <v>1</v>
      </c>
      <c r="T223" s="169">
        <v>98</v>
      </c>
      <c r="U223" s="169">
        <v>98</v>
      </c>
      <c r="V223" s="169">
        <v>0</v>
      </c>
      <c r="W223" s="169">
        <v>98</v>
      </c>
      <c r="X223" s="169">
        <f t="shared" si="44"/>
        <v>0</v>
      </c>
    </row>
    <row r="224" spans="1:24" ht="16.149999999999999" customHeight="1" x14ac:dyDescent="0.2">
      <c r="A224" s="170" t="s">
        <v>815</v>
      </c>
      <c r="B224" s="171" t="s">
        <v>816</v>
      </c>
      <c r="C224" s="171">
        <v>37331</v>
      </c>
      <c r="D224" s="165"/>
      <c r="E224" s="165"/>
      <c r="F224" s="165">
        <v>39478</v>
      </c>
      <c r="G224" s="167">
        <f>285.25+30.98</f>
        <v>316.23</v>
      </c>
      <c r="H224" s="167">
        <v>0</v>
      </c>
      <c r="I224" s="167">
        <f t="shared" si="39"/>
        <v>316.23</v>
      </c>
      <c r="J224" s="167">
        <f>285.25+30.98</f>
        <v>316.23</v>
      </c>
      <c r="K224" s="167">
        <v>0</v>
      </c>
      <c r="L224" s="167">
        <f t="shared" si="40"/>
        <v>316.23</v>
      </c>
      <c r="M224" s="127">
        <f t="shared" si="41"/>
        <v>0</v>
      </c>
      <c r="N224" s="167">
        <f t="shared" si="42"/>
        <v>0</v>
      </c>
      <c r="O224" s="167">
        <f t="shared" si="43"/>
        <v>0</v>
      </c>
      <c r="P224" s="167">
        <f>285.25+30.98-80.67-51.63-16.14-6.45-6.45-32.27-29.04-12.91-9.68-3.23-22.59-9.68-9.68-6.45-6.45-9.68-3.23</f>
        <v>3.2418512319054571E-14</v>
      </c>
      <c r="Q224" s="187"/>
      <c r="R224" s="128">
        <v>1</v>
      </c>
      <c r="S224" s="128">
        <v>1</v>
      </c>
      <c r="T224" s="169">
        <v>98</v>
      </c>
      <c r="U224" s="169">
        <v>98</v>
      </c>
      <c r="V224" s="169">
        <v>0</v>
      </c>
      <c r="W224" s="169">
        <v>98</v>
      </c>
      <c r="X224" s="169">
        <f t="shared" si="44"/>
        <v>0</v>
      </c>
    </row>
    <row r="225" spans="1:24" ht="16.149999999999999" customHeight="1" x14ac:dyDescent="0.2">
      <c r="A225" s="170" t="s">
        <v>817</v>
      </c>
      <c r="B225" s="171">
        <v>37910</v>
      </c>
      <c r="C225" s="171">
        <v>38122</v>
      </c>
      <c r="D225" s="165"/>
      <c r="E225" s="165"/>
      <c r="F225" s="165" t="s">
        <v>818</v>
      </c>
      <c r="G225" s="167">
        <f>195.45-4.45</f>
        <v>191</v>
      </c>
      <c r="H225" s="167">
        <v>0</v>
      </c>
      <c r="I225" s="167">
        <f t="shared" si="39"/>
        <v>191</v>
      </c>
      <c r="J225" s="167">
        <v>191</v>
      </c>
      <c r="K225" s="167">
        <v>0</v>
      </c>
      <c r="L225" s="167">
        <f t="shared" si="40"/>
        <v>191</v>
      </c>
      <c r="M225" s="127">
        <f t="shared" si="41"/>
        <v>0</v>
      </c>
      <c r="N225" s="167">
        <f t="shared" si="42"/>
        <v>0</v>
      </c>
      <c r="O225" s="167">
        <f t="shared" si="43"/>
        <v>0</v>
      </c>
      <c r="P225" s="167">
        <v>0</v>
      </c>
      <c r="Q225" s="187"/>
      <c r="R225" s="128">
        <v>1</v>
      </c>
      <c r="S225" s="128">
        <v>1</v>
      </c>
      <c r="T225" s="169">
        <f>55-6</f>
        <v>49</v>
      </c>
      <c r="U225" s="169">
        <f>55-6</f>
        <v>49</v>
      </c>
      <c r="V225" s="169">
        <v>0</v>
      </c>
      <c r="W225" s="169">
        <v>49</v>
      </c>
      <c r="X225" s="169">
        <f t="shared" si="44"/>
        <v>0</v>
      </c>
    </row>
    <row r="226" spans="1:24" ht="16.149999999999999" customHeight="1" x14ac:dyDescent="0.2">
      <c r="A226" s="170" t="s">
        <v>819</v>
      </c>
      <c r="B226" s="171">
        <v>37236</v>
      </c>
      <c r="C226" s="171">
        <v>37365</v>
      </c>
      <c r="D226" s="165"/>
      <c r="E226" s="165"/>
      <c r="F226" s="165">
        <v>38748</v>
      </c>
      <c r="G226" s="167">
        <f>106.93+0.6</f>
        <v>107.53</v>
      </c>
      <c r="H226" s="167">
        <v>0</v>
      </c>
      <c r="I226" s="167">
        <f t="shared" si="39"/>
        <v>107.53</v>
      </c>
      <c r="J226" s="167">
        <v>107.53</v>
      </c>
      <c r="K226" s="167">
        <v>0</v>
      </c>
      <c r="L226" s="167">
        <f t="shared" si="40"/>
        <v>107.53</v>
      </c>
      <c r="M226" s="127">
        <f t="shared" si="41"/>
        <v>0</v>
      </c>
      <c r="N226" s="167">
        <f t="shared" si="42"/>
        <v>0</v>
      </c>
      <c r="O226" s="167">
        <f t="shared" si="43"/>
        <v>0</v>
      </c>
      <c r="P226" s="167">
        <v>0</v>
      </c>
      <c r="Q226" s="187"/>
      <c r="R226" s="128">
        <v>1</v>
      </c>
      <c r="S226" s="128">
        <v>1</v>
      </c>
      <c r="T226" s="169">
        <v>34</v>
      </c>
      <c r="U226" s="169">
        <v>34</v>
      </c>
      <c r="V226" s="169">
        <v>0</v>
      </c>
      <c r="W226" s="169">
        <v>34</v>
      </c>
      <c r="X226" s="169">
        <f t="shared" si="44"/>
        <v>0</v>
      </c>
    </row>
    <row r="227" spans="1:24" ht="16.149999999999999" customHeight="1" x14ac:dyDescent="0.2">
      <c r="A227" s="170" t="s">
        <v>820</v>
      </c>
      <c r="B227" s="171">
        <v>37236</v>
      </c>
      <c r="C227" s="171">
        <v>37365</v>
      </c>
      <c r="D227" s="165"/>
      <c r="E227" s="165"/>
      <c r="F227" s="165">
        <v>39021</v>
      </c>
      <c r="G227" s="167">
        <v>135.47</v>
      </c>
      <c r="H227" s="167">
        <v>0</v>
      </c>
      <c r="I227" s="167">
        <f t="shared" si="39"/>
        <v>135.47</v>
      </c>
      <c r="J227" s="167">
        <f>52.67+33.12+33.12+16.56</f>
        <v>135.47</v>
      </c>
      <c r="K227" s="167">
        <v>0</v>
      </c>
      <c r="L227" s="167">
        <f t="shared" si="40"/>
        <v>135.47</v>
      </c>
      <c r="M227" s="127">
        <f t="shared" si="41"/>
        <v>0</v>
      </c>
      <c r="N227" s="167">
        <f t="shared" si="42"/>
        <v>0</v>
      </c>
      <c r="O227" s="167">
        <f t="shared" si="43"/>
        <v>0</v>
      </c>
      <c r="P227" s="167">
        <v>0</v>
      </c>
      <c r="Q227" s="187"/>
      <c r="R227" s="128">
        <v>1</v>
      </c>
      <c r="S227" s="128">
        <v>1</v>
      </c>
      <c r="T227" s="169">
        <v>46</v>
      </c>
      <c r="U227" s="169">
        <v>46</v>
      </c>
      <c r="V227" s="169">
        <v>0</v>
      </c>
      <c r="W227" s="169">
        <v>46</v>
      </c>
      <c r="X227" s="169">
        <f t="shared" si="44"/>
        <v>0</v>
      </c>
    </row>
    <row r="228" spans="1:24" ht="16.149999999999999" customHeight="1" x14ac:dyDescent="0.2">
      <c r="A228" s="170" t="s">
        <v>821</v>
      </c>
      <c r="B228" s="171">
        <v>37236</v>
      </c>
      <c r="C228" s="171">
        <v>37365</v>
      </c>
      <c r="D228" s="165"/>
      <c r="E228" s="165"/>
      <c r="F228" s="165">
        <v>38716</v>
      </c>
      <c r="G228" s="167">
        <f>57.9-8.68+7.61+3.4+15.46-0.76</f>
        <v>74.929999999999993</v>
      </c>
      <c r="H228" s="167">
        <v>0</v>
      </c>
      <c r="I228" s="167">
        <f t="shared" si="39"/>
        <v>74.929999999999993</v>
      </c>
      <c r="J228" s="167">
        <f>21.9+14.4+7.61-5.44+30.03+4.29+2.14</f>
        <v>74.930000000000007</v>
      </c>
      <c r="K228" s="167">
        <v>0</v>
      </c>
      <c r="L228" s="167">
        <f t="shared" si="40"/>
        <v>74.930000000000007</v>
      </c>
      <c r="M228" s="127">
        <f t="shared" si="41"/>
        <v>0</v>
      </c>
      <c r="N228" s="167">
        <f t="shared" si="42"/>
        <v>0</v>
      </c>
      <c r="O228" s="167">
        <f t="shared" si="43"/>
        <v>0</v>
      </c>
      <c r="P228" s="167">
        <f>36.3-5.44+7.61-31.68-4.52-2.27</f>
        <v>0</v>
      </c>
      <c r="Q228" s="187"/>
      <c r="R228" s="128">
        <v>1</v>
      </c>
      <c r="S228" s="128">
        <v>1</v>
      </c>
      <c r="T228" s="169">
        <v>17</v>
      </c>
      <c r="U228" s="169">
        <v>17</v>
      </c>
      <c r="V228" s="169">
        <v>0</v>
      </c>
      <c r="W228" s="169">
        <v>17</v>
      </c>
      <c r="X228" s="169">
        <f t="shared" si="44"/>
        <v>0</v>
      </c>
    </row>
    <row r="229" spans="1:24" ht="16.149999999999999" customHeight="1" x14ac:dyDescent="0.2">
      <c r="A229" s="170" t="s">
        <v>822</v>
      </c>
      <c r="B229" s="171">
        <v>37236</v>
      </c>
      <c r="C229" s="171">
        <v>37365</v>
      </c>
      <c r="D229" s="165"/>
      <c r="E229" s="165"/>
      <c r="F229" s="165">
        <v>37864</v>
      </c>
      <c r="G229" s="167">
        <v>94.35</v>
      </c>
      <c r="H229" s="167">
        <v>0</v>
      </c>
      <c r="I229" s="167">
        <f t="shared" si="39"/>
        <v>94.35</v>
      </c>
      <c r="J229" s="167">
        <f>61.95+21.6+10.8</f>
        <v>94.350000000000009</v>
      </c>
      <c r="K229" s="167">
        <v>0</v>
      </c>
      <c r="L229" s="167">
        <f t="shared" si="40"/>
        <v>94.350000000000009</v>
      </c>
      <c r="M229" s="127">
        <f t="shared" si="41"/>
        <v>0</v>
      </c>
      <c r="N229" s="167">
        <f t="shared" si="42"/>
        <v>0</v>
      </c>
      <c r="O229" s="167">
        <f t="shared" si="43"/>
        <v>0</v>
      </c>
      <c r="P229" s="167">
        <v>0</v>
      </c>
      <c r="Q229" s="187"/>
      <c r="R229" s="128">
        <v>1</v>
      </c>
      <c r="S229" s="128">
        <v>1</v>
      </c>
      <c r="T229" s="169">
        <v>30</v>
      </c>
      <c r="U229" s="169">
        <v>30</v>
      </c>
      <c r="V229" s="169">
        <v>0</v>
      </c>
      <c r="W229" s="169">
        <v>30</v>
      </c>
      <c r="X229" s="169">
        <f t="shared" si="44"/>
        <v>0</v>
      </c>
    </row>
    <row r="230" spans="1:24" ht="16.149999999999999" customHeight="1" x14ac:dyDescent="0.2">
      <c r="A230" s="170" t="s">
        <v>823</v>
      </c>
      <c r="B230" s="171">
        <v>37236</v>
      </c>
      <c r="C230" s="171">
        <v>37365</v>
      </c>
      <c r="D230" s="165"/>
      <c r="E230" s="165"/>
      <c r="F230" s="165">
        <v>37802</v>
      </c>
      <c r="G230" s="167">
        <v>28.3</v>
      </c>
      <c r="H230" s="167">
        <v>0</v>
      </c>
      <c r="I230" s="167">
        <f t="shared" si="39"/>
        <v>28.3</v>
      </c>
      <c r="J230" s="167">
        <v>28.3</v>
      </c>
      <c r="K230" s="167">
        <v>0</v>
      </c>
      <c r="L230" s="167">
        <f t="shared" si="40"/>
        <v>28.3</v>
      </c>
      <c r="M230" s="127">
        <f t="shared" si="41"/>
        <v>0</v>
      </c>
      <c r="N230" s="167">
        <f t="shared" si="42"/>
        <v>0</v>
      </c>
      <c r="O230" s="167">
        <f t="shared" si="43"/>
        <v>0</v>
      </c>
      <c r="P230" s="167">
        <v>0</v>
      </c>
      <c r="Q230" s="187"/>
      <c r="R230" s="128">
        <v>1</v>
      </c>
      <c r="S230" s="128">
        <v>1</v>
      </c>
      <c r="T230" s="169">
        <v>9</v>
      </c>
      <c r="U230" s="169">
        <v>9</v>
      </c>
      <c r="V230" s="169">
        <v>0</v>
      </c>
      <c r="W230" s="169">
        <v>9</v>
      </c>
      <c r="X230" s="169">
        <f t="shared" si="44"/>
        <v>0</v>
      </c>
    </row>
    <row r="231" spans="1:24" ht="16.149999999999999" customHeight="1" x14ac:dyDescent="0.2">
      <c r="A231" s="170" t="s">
        <v>824</v>
      </c>
      <c r="B231" s="171">
        <v>37321</v>
      </c>
      <c r="C231" s="171">
        <v>37480</v>
      </c>
      <c r="D231" s="165"/>
      <c r="E231" s="165"/>
      <c r="F231" s="165">
        <v>38291</v>
      </c>
      <c r="G231" s="167">
        <v>411.13</v>
      </c>
      <c r="H231" s="167">
        <v>0</v>
      </c>
      <c r="I231" s="167">
        <f t="shared" si="39"/>
        <v>411.13</v>
      </c>
      <c r="J231" s="167">
        <v>411.13</v>
      </c>
      <c r="K231" s="167">
        <v>0</v>
      </c>
      <c r="L231" s="167">
        <f t="shared" si="40"/>
        <v>411.13</v>
      </c>
      <c r="M231" s="127">
        <f t="shared" si="41"/>
        <v>0</v>
      </c>
      <c r="N231" s="167">
        <f t="shared" si="42"/>
        <v>0</v>
      </c>
      <c r="O231" s="167">
        <f t="shared" si="43"/>
        <v>0</v>
      </c>
      <c r="P231" s="167">
        <v>0</v>
      </c>
      <c r="Q231" s="187"/>
      <c r="R231" s="128">
        <v>1</v>
      </c>
      <c r="S231" s="128">
        <v>1</v>
      </c>
      <c r="T231" s="169">
        <v>122</v>
      </c>
      <c r="U231" s="169">
        <v>122</v>
      </c>
      <c r="V231" s="169">
        <v>0</v>
      </c>
      <c r="W231" s="169">
        <v>122</v>
      </c>
      <c r="X231" s="169">
        <f t="shared" si="44"/>
        <v>0</v>
      </c>
    </row>
    <row r="232" spans="1:24" ht="16.149999999999999" customHeight="1" x14ac:dyDescent="0.2">
      <c r="A232" s="170" t="s">
        <v>825</v>
      </c>
      <c r="B232" s="171">
        <v>37328</v>
      </c>
      <c r="C232" s="171">
        <v>37508</v>
      </c>
      <c r="D232" s="165"/>
      <c r="E232" s="165"/>
      <c r="F232" s="165">
        <v>38716</v>
      </c>
      <c r="G232" s="167">
        <f>358.89+14.85+46.36-51.7+5.2+2.55</f>
        <v>376.15000000000003</v>
      </c>
      <c r="H232" s="167">
        <v>0</v>
      </c>
      <c r="I232" s="167">
        <f t="shared" si="39"/>
        <v>376.15000000000003</v>
      </c>
      <c r="J232" s="167">
        <v>376.15</v>
      </c>
      <c r="K232" s="167">
        <v>0</v>
      </c>
      <c r="L232" s="167">
        <f t="shared" si="40"/>
        <v>376.15</v>
      </c>
      <c r="M232" s="127">
        <f t="shared" si="41"/>
        <v>0</v>
      </c>
      <c r="N232" s="167">
        <f t="shared" si="42"/>
        <v>0</v>
      </c>
      <c r="O232" s="167">
        <f t="shared" si="43"/>
        <v>0</v>
      </c>
      <c r="P232" s="167">
        <v>0</v>
      </c>
      <c r="Q232" s="187"/>
      <c r="R232" s="128">
        <v>1</v>
      </c>
      <c r="S232" s="128">
        <v>0.99</v>
      </c>
      <c r="T232" s="169">
        <v>109</v>
      </c>
      <c r="U232" s="169">
        <v>109</v>
      </c>
      <c r="V232" s="169">
        <v>0</v>
      </c>
      <c r="W232" s="169">
        <v>106</v>
      </c>
      <c r="X232" s="169">
        <f t="shared" si="44"/>
        <v>3</v>
      </c>
    </row>
    <row r="233" spans="1:24" ht="16.149999999999999" customHeight="1" x14ac:dyDescent="0.2">
      <c r="A233" s="170" t="s">
        <v>826</v>
      </c>
      <c r="B233" s="171">
        <v>37334</v>
      </c>
      <c r="C233" s="171">
        <v>37525</v>
      </c>
      <c r="D233" s="165"/>
      <c r="E233" s="165"/>
      <c r="F233" s="165">
        <v>38716</v>
      </c>
      <c r="G233" s="167">
        <v>585.65</v>
      </c>
      <c r="H233" s="167">
        <v>0</v>
      </c>
      <c r="I233" s="167">
        <f t="shared" si="39"/>
        <v>585.65</v>
      </c>
      <c r="J233" s="167">
        <v>585.65</v>
      </c>
      <c r="K233" s="167">
        <v>0</v>
      </c>
      <c r="L233" s="167">
        <f t="shared" si="40"/>
        <v>585.65</v>
      </c>
      <c r="M233" s="127">
        <f t="shared" si="41"/>
        <v>0</v>
      </c>
      <c r="N233" s="167">
        <f t="shared" si="42"/>
        <v>0</v>
      </c>
      <c r="O233" s="167">
        <f t="shared" si="43"/>
        <v>0</v>
      </c>
      <c r="P233" s="167">
        <v>0</v>
      </c>
      <c r="Q233" s="187"/>
      <c r="R233" s="128">
        <v>1</v>
      </c>
      <c r="S233" s="128">
        <v>1</v>
      </c>
      <c r="T233" s="169">
        <v>170</v>
      </c>
      <c r="U233" s="169">
        <v>170</v>
      </c>
      <c r="V233" s="169">
        <v>0</v>
      </c>
      <c r="W233" s="169">
        <v>170</v>
      </c>
      <c r="X233" s="169">
        <f t="shared" si="44"/>
        <v>0</v>
      </c>
    </row>
    <row r="234" spans="1:24" ht="16.149999999999999" customHeight="1" x14ac:dyDescent="0.2">
      <c r="A234" s="170" t="s">
        <v>827</v>
      </c>
      <c r="B234" s="171">
        <v>37335</v>
      </c>
      <c r="C234" s="171">
        <v>37546</v>
      </c>
      <c r="D234" s="165"/>
      <c r="E234" s="165"/>
      <c r="F234" s="165">
        <v>38595</v>
      </c>
      <c r="G234" s="167">
        <v>460.78</v>
      </c>
      <c r="H234" s="167">
        <v>0</v>
      </c>
      <c r="I234" s="167">
        <f t="shared" si="39"/>
        <v>460.78</v>
      </c>
      <c r="J234" s="167">
        <v>460.78</v>
      </c>
      <c r="K234" s="167">
        <v>0</v>
      </c>
      <c r="L234" s="167">
        <f t="shared" si="40"/>
        <v>460.78</v>
      </c>
      <c r="M234" s="127">
        <f t="shared" si="41"/>
        <v>0</v>
      </c>
      <c r="N234" s="167">
        <f t="shared" si="42"/>
        <v>0</v>
      </c>
      <c r="O234" s="167">
        <f t="shared" si="43"/>
        <v>0</v>
      </c>
      <c r="P234" s="167">
        <v>0</v>
      </c>
      <c r="Q234" s="187"/>
      <c r="R234" s="128">
        <v>1</v>
      </c>
      <c r="S234" s="128">
        <v>1</v>
      </c>
      <c r="T234" s="169">
        <v>112</v>
      </c>
      <c r="U234" s="169">
        <v>112</v>
      </c>
      <c r="V234" s="169">
        <v>0</v>
      </c>
      <c r="W234" s="169">
        <v>112</v>
      </c>
      <c r="X234" s="169">
        <f t="shared" si="44"/>
        <v>0</v>
      </c>
    </row>
    <row r="235" spans="1:24" ht="16.149999999999999" customHeight="1" x14ac:dyDescent="0.2">
      <c r="A235" s="170" t="s">
        <v>828</v>
      </c>
      <c r="B235" s="171">
        <v>37340</v>
      </c>
      <c r="C235" s="171">
        <v>37530</v>
      </c>
      <c r="D235" s="165"/>
      <c r="E235" s="165"/>
      <c r="F235" s="165">
        <v>38533</v>
      </c>
      <c r="G235" s="167">
        <v>141.24</v>
      </c>
      <c r="H235" s="167">
        <v>0</v>
      </c>
      <c r="I235" s="167">
        <f t="shared" si="39"/>
        <v>141.24</v>
      </c>
      <c r="J235" s="167">
        <f>87.12+36.08+18.04</f>
        <v>141.24</v>
      </c>
      <c r="K235" s="167">
        <v>0</v>
      </c>
      <c r="L235" s="167">
        <f t="shared" si="40"/>
        <v>141.24</v>
      </c>
      <c r="M235" s="127">
        <f t="shared" si="41"/>
        <v>0</v>
      </c>
      <c r="N235" s="167">
        <f t="shared" si="42"/>
        <v>0</v>
      </c>
      <c r="O235" s="167">
        <f t="shared" si="43"/>
        <v>0</v>
      </c>
      <c r="P235" s="167">
        <v>0</v>
      </c>
      <c r="Q235" s="187"/>
      <c r="R235" s="128">
        <v>1</v>
      </c>
      <c r="S235" s="128">
        <v>1</v>
      </c>
      <c r="T235" s="169">
        <v>41</v>
      </c>
      <c r="U235" s="169">
        <v>41</v>
      </c>
      <c r="V235" s="169">
        <v>0</v>
      </c>
      <c r="W235" s="169">
        <v>41</v>
      </c>
      <c r="X235" s="169">
        <f t="shared" si="44"/>
        <v>0</v>
      </c>
    </row>
    <row r="236" spans="1:24" ht="16.149999999999999" customHeight="1" x14ac:dyDescent="0.2">
      <c r="A236" s="170" t="s">
        <v>829</v>
      </c>
      <c r="B236" s="171">
        <v>37363</v>
      </c>
      <c r="C236" s="171">
        <v>37553</v>
      </c>
      <c r="D236" s="165"/>
      <c r="E236" s="165"/>
      <c r="F236" s="165">
        <v>37955</v>
      </c>
      <c r="G236" s="167">
        <v>515.25</v>
      </c>
      <c r="H236" s="167">
        <v>0</v>
      </c>
      <c r="I236" s="167">
        <f t="shared" si="39"/>
        <v>515.25</v>
      </c>
      <c r="J236" s="167">
        <v>515.25</v>
      </c>
      <c r="K236" s="167">
        <v>0</v>
      </c>
      <c r="L236" s="167">
        <f t="shared" si="40"/>
        <v>515.25</v>
      </c>
      <c r="M236" s="127">
        <f t="shared" si="41"/>
        <v>0</v>
      </c>
      <c r="N236" s="167">
        <f t="shared" si="42"/>
        <v>0</v>
      </c>
      <c r="O236" s="167">
        <f t="shared" si="43"/>
        <v>0</v>
      </c>
      <c r="P236" s="167">
        <v>0</v>
      </c>
      <c r="Q236" s="187"/>
      <c r="R236" s="128">
        <v>1</v>
      </c>
      <c r="S236" s="128">
        <v>1</v>
      </c>
      <c r="T236" s="169">
        <v>150</v>
      </c>
      <c r="U236" s="169">
        <v>150</v>
      </c>
      <c r="V236" s="169">
        <v>0</v>
      </c>
      <c r="W236" s="169">
        <v>150</v>
      </c>
      <c r="X236" s="169">
        <f t="shared" si="44"/>
        <v>0</v>
      </c>
    </row>
    <row r="237" spans="1:24" ht="16.149999999999999" customHeight="1" x14ac:dyDescent="0.2">
      <c r="A237" s="170" t="s">
        <v>830</v>
      </c>
      <c r="B237" s="171">
        <v>37370</v>
      </c>
      <c r="C237" s="171">
        <v>37501</v>
      </c>
      <c r="D237" s="165"/>
      <c r="E237" s="165"/>
      <c r="F237" s="165">
        <v>38260</v>
      </c>
      <c r="G237" s="167">
        <f>89.18-0.23</f>
        <v>88.95</v>
      </c>
      <c r="H237" s="167">
        <v>0</v>
      </c>
      <c r="I237" s="167">
        <f t="shared" si="39"/>
        <v>88.95</v>
      </c>
      <c r="J237" s="167">
        <v>88.95</v>
      </c>
      <c r="K237" s="167">
        <v>0</v>
      </c>
      <c r="L237" s="167">
        <f t="shared" si="40"/>
        <v>88.95</v>
      </c>
      <c r="M237" s="127">
        <f t="shared" si="41"/>
        <v>0</v>
      </c>
      <c r="N237" s="167">
        <f t="shared" si="42"/>
        <v>0</v>
      </c>
      <c r="O237" s="167">
        <f t="shared" si="43"/>
        <v>0</v>
      </c>
      <c r="P237" s="167">
        <v>0</v>
      </c>
      <c r="Q237" s="187"/>
      <c r="R237" s="128">
        <v>1</v>
      </c>
      <c r="S237" s="128">
        <v>1</v>
      </c>
      <c r="T237" s="169">
        <v>23</v>
      </c>
      <c r="U237" s="169">
        <v>23</v>
      </c>
      <c r="V237" s="169">
        <v>0</v>
      </c>
      <c r="W237" s="169">
        <v>23</v>
      </c>
      <c r="X237" s="169">
        <f t="shared" si="44"/>
        <v>0</v>
      </c>
    </row>
    <row r="238" spans="1:24" ht="16.149999999999999" customHeight="1" x14ac:dyDescent="0.2">
      <c r="A238" s="170" t="s">
        <v>831</v>
      </c>
      <c r="B238" s="171">
        <v>37370</v>
      </c>
      <c r="C238" s="171">
        <v>37501</v>
      </c>
      <c r="D238" s="165"/>
      <c r="E238" s="165"/>
      <c r="F238" s="165">
        <v>38748</v>
      </c>
      <c r="G238" s="167">
        <v>130.80000000000001</v>
      </c>
      <c r="H238" s="167">
        <v>0</v>
      </c>
      <c r="I238" s="167">
        <f t="shared" si="39"/>
        <v>130.80000000000001</v>
      </c>
      <c r="J238" s="167">
        <f>42.8+35.2+35.2+17.6</f>
        <v>130.80000000000001</v>
      </c>
      <c r="K238" s="167">
        <v>0</v>
      </c>
      <c r="L238" s="167">
        <f t="shared" si="40"/>
        <v>130.80000000000001</v>
      </c>
      <c r="M238" s="127">
        <f t="shared" si="41"/>
        <v>0</v>
      </c>
      <c r="N238" s="167">
        <f t="shared" si="42"/>
        <v>0</v>
      </c>
      <c r="O238" s="167">
        <f t="shared" si="43"/>
        <v>0</v>
      </c>
      <c r="P238" s="167">
        <v>0</v>
      </c>
      <c r="Q238" s="187"/>
      <c r="R238" s="128">
        <v>1</v>
      </c>
      <c r="S238" s="128">
        <v>1</v>
      </c>
      <c r="T238" s="169">
        <v>40</v>
      </c>
      <c r="U238" s="169">
        <v>40</v>
      </c>
      <c r="V238" s="169">
        <v>0</v>
      </c>
      <c r="W238" s="169">
        <v>40</v>
      </c>
      <c r="X238" s="169">
        <f t="shared" si="44"/>
        <v>0</v>
      </c>
    </row>
    <row r="239" spans="1:24" ht="16.149999999999999" customHeight="1" x14ac:dyDescent="0.2">
      <c r="A239" s="170" t="s">
        <v>832</v>
      </c>
      <c r="B239" s="171">
        <v>37378</v>
      </c>
      <c r="C239" s="171">
        <v>37505</v>
      </c>
      <c r="D239" s="165"/>
      <c r="E239" s="165"/>
      <c r="F239" s="165">
        <v>37925</v>
      </c>
      <c r="G239" s="167">
        <v>53.05</v>
      </c>
      <c r="H239" s="167">
        <v>0</v>
      </c>
      <c r="I239" s="167">
        <f t="shared" si="39"/>
        <v>53.05</v>
      </c>
      <c r="J239" s="167">
        <v>53.05</v>
      </c>
      <c r="K239" s="167">
        <v>0</v>
      </c>
      <c r="L239" s="167">
        <f t="shared" si="40"/>
        <v>53.05</v>
      </c>
      <c r="M239" s="127">
        <f t="shared" si="41"/>
        <v>0</v>
      </c>
      <c r="N239" s="167">
        <f t="shared" si="42"/>
        <v>0</v>
      </c>
      <c r="O239" s="167">
        <f t="shared" si="43"/>
        <v>0</v>
      </c>
      <c r="P239" s="167">
        <v>0</v>
      </c>
      <c r="Q239" s="187"/>
      <c r="R239" s="128">
        <v>1</v>
      </c>
      <c r="S239" s="128">
        <v>1</v>
      </c>
      <c r="T239" s="169">
        <v>15</v>
      </c>
      <c r="U239" s="169">
        <v>15</v>
      </c>
      <c r="V239" s="169">
        <v>0</v>
      </c>
      <c r="W239" s="169">
        <v>15</v>
      </c>
      <c r="X239" s="169">
        <f t="shared" si="44"/>
        <v>0</v>
      </c>
    </row>
    <row r="240" spans="1:24" ht="16.149999999999999" customHeight="1" x14ac:dyDescent="0.2">
      <c r="A240" s="170" t="s">
        <v>833</v>
      </c>
      <c r="B240" s="171">
        <v>37379</v>
      </c>
      <c r="C240" s="171">
        <v>37505</v>
      </c>
      <c r="D240" s="165"/>
      <c r="E240" s="165"/>
      <c r="F240" s="165">
        <v>38748</v>
      </c>
      <c r="G240" s="167">
        <v>102.46</v>
      </c>
      <c r="H240" s="167">
        <v>0</v>
      </c>
      <c r="I240" s="167">
        <f t="shared" si="39"/>
        <v>102.46</v>
      </c>
      <c r="J240" s="167">
        <f>39.01+23.76+23.76+15.93</f>
        <v>102.46000000000001</v>
      </c>
      <c r="K240" s="167">
        <v>0</v>
      </c>
      <c r="L240" s="167">
        <f t="shared" si="40"/>
        <v>102.46000000000001</v>
      </c>
      <c r="M240" s="127">
        <f t="shared" si="41"/>
        <v>0</v>
      </c>
      <c r="N240" s="167">
        <f t="shared" si="42"/>
        <v>0</v>
      </c>
      <c r="O240" s="167">
        <f t="shared" si="43"/>
        <v>0</v>
      </c>
      <c r="P240" s="167">
        <v>0</v>
      </c>
      <c r="Q240" s="187"/>
      <c r="R240" s="128">
        <v>1</v>
      </c>
      <c r="S240" s="128">
        <v>1</v>
      </c>
      <c r="T240" s="169">
        <v>27</v>
      </c>
      <c r="U240" s="169">
        <v>27</v>
      </c>
      <c r="V240" s="169">
        <v>0</v>
      </c>
      <c r="W240" s="169">
        <v>27</v>
      </c>
      <c r="X240" s="169">
        <f t="shared" si="44"/>
        <v>0</v>
      </c>
    </row>
    <row r="241" spans="1:24" ht="16.149999999999999" customHeight="1" x14ac:dyDescent="0.2">
      <c r="A241" s="170" t="s">
        <v>834</v>
      </c>
      <c r="B241" s="171">
        <v>37679</v>
      </c>
      <c r="C241" s="171" t="s">
        <v>203</v>
      </c>
      <c r="D241" s="165"/>
      <c r="E241" s="165"/>
      <c r="F241" s="165" t="s">
        <v>203</v>
      </c>
      <c r="G241" s="167">
        <v>56.13</v>
      </c>
      <c r="H241" s="167">
        <v>0</v>
      </c>
      <c r="I241" s="167">
        <f t="shared" si="39"/>
        <v>56.13</v>
      </c>
      <c r="J241" s="167">
        <v>56.13</v>
      </c>
      <c r="K241" s="167">
        <v>0</v>
      </c>
      <c r="L241" s="167">
        <f t="shared" si="40"/>
        <v>56.13</v>
      </c>
      <c r="M241" s="127">
        <f t="shared" si="41"/>
        <v>0</v>
      </c>
      <c r="N241" s="167">
        <f t="shared" si="42"/>
        <v>0</v>
      </c>
      <c r="O241" s="167">
        <f t="shared" si="43"/>
        <v>0</v>
      </c>
      <c r="P241" s="171" t="s">
        <v>203</v>
      </c>
      <c r="Q241" s="187"/>
      <c r="R241" s="128">
        <v>1</v>
      </c>
      <c r="S241" s="128">
        <v>1</v>
      </c>
      <c r="T241" s="169">
        <v>17</v>
      </c>
      <c r="U241" s="169">
        <v>17</v>
      </c>
      <c r="V241" s="169">
        <v>0</v>
      </c>
      <c r="W241" s="169">
        <v>17</v>
      </c>
      <c r="X241" s="169">
        <f t="shared" si="44"/>
        <v>0</v>
      </c>
    </row>
    <row r="242" spans="1:24" ht="16.149999999999999" customHeight="1" x14ac:dyDescent="0.2">
      <c r="A242" s="170" t="s">
        <v>835</v>
      </c>
      <c r="B242" s="171">
        <v>37378</v>
      </c>
      <c r="C242" s="171">
        <v>37566</v>
      </c>
      <c r="D242" s="165"/>
      <c r="E242" s="165"/>
      <c r="F242" s="165">
        <v>37864</v>
      </c>
      <c r="G242" s="167">
        <v>471.9</v>
      </c>
      <c r="H242" s="167">
        <v>0</v>
      </c>
      <c r="I242" s="167">
        <f t="shared" ref="I242:I273" si="45">G242+H242</f>
        <v>471.9</v>
      </c>
      <c r="J242" s="167">
        <f>57.36+42.24+42.24+21.12+108.74+80.08+80.08+40.04</f>
        <v>471.9</v>
      </c>
      <c r="K242" s="167">
        <v>0</v>
      </c>
      <c r="L242" s="167">
        <f t="shared" si="40"/>
        <v>471.9</v>
      </c>
      <c r="M242" s="127">
        <f t="shared" ref="M242:M273" si="46">G242-J242</f>
        <v>0</v>
      </c>
      <c r="N242" s="167">
        <f t="shared" ref="N242:N273" si="47">H242-K242</f>
        <v>0</v>
      </c>
      <c r="O242" s="167">
        <f t="shared" ref="O242:O273" si="48">M242+N242</f>
        <v>0</v>
      </c>
      <c r="P242" s="167">
        <v>0</v>
      </c>
      <c r="Q242" s="187"/>
      <c r="R242" s="128">
        <v>1</v>
      </c>
      <c r="S242" s="128">
        <v>1</v>
      </c>
      <c r="T242" s="169">
        <v>139</v>
      </c>
      <c r="U242" s="169">
        <v>139</v>
      </c>
      <c r="V242" s="169">
        <v>0</v>
      </c>
      <c r="W242" s="169">
        <v>139</v>
      </c>
      <c r="X242" s="169">
        <f t="shared" si="44"/>
        <v>0</v>
      </c>
    </row>
    <row r="243" spans="1:24" ht="16.149999999999999" customHeight="1" x14ac:dyDescent="0.2">
      <c r="A243" s="170" t="s">
        <v>836</v>
      </c>
      <c r="B243" s="171">
        <v>37924</v>
      </c>
      <c r="C243" s="171" t="s">
        <v>203</v>
      </c>
      <c r="D243" s="165"/>
      <c r="E243" s="165"/>
      <c r="F243" s="165" t="s">
        <v>203</v>
      </c>
      <c r="G243" s="167">
        <f>147.43-3.97</f>
        <v>143.46</v>
      </c>
      <c r="H243" s="167">
        <v>0</v>
      </c>
      <c r="I243" s="167">
        <f t="shared" si="45"/>
        <v>143.46</v>
      </c>
      <c r="J243" s="167">
        <v>143.46</v>
      </c>
      <c r="K243" s="167">
        <v>0</v>
      </c>
      <c r="L243" s="167">
        <f t="shared" si="40"/>
        <v>143.46</v>
      </c>
      <c r="M243" s="127">
        <f t="shared" si="46"/>
        <v>0</v>
      </c>
      <c r="N243" s="167">
        <f t="shared" si="47"/>
        <v>0</v>
      </c>
      <c r="O243" s="167">
        <f t="shared" si="48"/>
        <v>0</v>
      </c>
      <c r="P243" s="184" t="s">
        <v>203</v>
      </c>
      <c r="Q243" s="187"/>
      <c r="R243" s="128">
        <v>1</v>
      </c>
      <c r="S243" s="128">
        <v>1</v>
      </c>
      <c r="T243" s="169">
        <f>40-1</f>
        <v>39</v>
      </c>
      <c r="U243" s="169">
        <f>40-1</f>
        <v>39</v>
      </c>
      <c r="V243" s="169">
        <v>0</v>
      </c>
      <c r="W243" s="169">
        <v>39</v>
      </c>
      <c r="X243" s="169">
        <f t="shared" si="44"/>
        <v>0</v>
      </c>
    </row>
    <row r="244" spans="1:24" ht="16.149999999999999" customHeight="1" x14ac:dyDescent="0.2">
      <c r="A244" s="170" t="s">
        <v>837</v>
      </c>
      <c r="B244" s="171" t="s">
        <v>838</v>
      </c>
      <c r="C244" s="171" t="s">
        <v>203</v>
      </c>
      <c r="D244" s="165"/>
      <c r="E244" s="165"/>
      <c r="F244" s="165" t="s">
        <v>203</v>
      </c>
      <c r="G244" s="167">
        <f>174.68+41.43+12.4+0.3</f>
        <v>228.81000000000003</v>
      </c>
      <c r="H244" s="167">
        <v>0</v>
      </c>
      <c r="I244" s="167">
        <f t="shared" si="45"/>
        <v>228.81000000000003</v>
      </c>
      <c r="J244" s="167">
        <v>228.81</v>
      </c>
      <c r="K244" s="167">
        <v>0</v>
      </c>
      <c r="L244" s="167">
        <f t="shared" si="40"/>
        <v>228.81</v>
      </c>
      <c r="M244" s="127">
        <f t="shared" si="46"/>
        <v>0</v>
      </c>
      <c r="N244" s="167">
        <f t="shared" si="47"/>
        <v>0</v>
      </c>
      <c r="O244" s="167">
        <f t="shared" si="48"/>
        <v>0</v>
      </c>
      <c r="P244" s="171" t="s">
        <v>203</v>
      </c>
      <c r="Q244" s="187"/>
      <c r="R244" s="128">
        <v>1</v>
      </c>
      <c r="S244" s="128">
        <v>1</v>
      </c>
      <c r="T244" s="169">
        <v>62</v>
      </c>
      <c r="U244" s="169">
        <v>62</v>
      </c>
      <c r="V244" s="169">
        <v>0</v>
      </c>
      <c r="W244" s="169">
        <v>62</v>
      </c>
      <c r="X244" s="169">
        <f t="shared" si="44"/>
        <v>0</v>
      </c>
    </row>
    <row r="245" spans="1:24" ht="16.149999999999999" customHeight="1" x14ac:dyDescent="0.2">
      <c r="A245" s="170" t="s">
        <v>839</v>
      </c>
      <c r="B245" s="171">
        <v>37928</v>
      </c>
      <c r="C245" s="171" t="s">
        <v>203</v>
      </c>
      <c r="D245" s="165"/>
      <c r="E245" s="165"/>
      <c r="F245" s="165" t="s">
        <v>203</v>
      </c>
      <c r="G245" s="167">
        <v>140.71</v>
      </c>
      <c r="H245" s="167">
        <v>0</v>
      </c>
      <c r="I245" s="167">
        <f t="shared" si="45"/>
        <v>140.71</v>
      </c>
      <c r="J245" s="167">
        <v>140.71</v>
      </c>
      <c r="K245" s="167">
        <v>0</v>
      </c>
      <c r="L245" s="167">
        <f t="shared" si="40"/>
        <v>140.71</v>
      </c>
      <c r="M245" s="127">
        <f t="shared" si="46"/>
        <v>0</v>
      </c>
      <c r="N245" s="167">
        <f t="shared" si="47"/>
        <v>0</v>
      </c>
      <c r="O245" s="167">
        <f t="shared" si="48"/>
        <v>0</v>
      </c>
      <c r="P245" s="171" t="s">
        <v>203</v>
      </c>
      <c r="Q245" s="187"/>
      <c r="R245" s="128">
        <v>1</v>
      </c>
      <c r="S245" s="128">
        <v>1</v>
      </c>
      <c r="T245" s="169">
        <v>38</v>
      </c>
      <c r="U245" s="169">
        <v>38</v>
      </c>
      <c r="V245" s="169">
        <v>0</v>
      </c>
      <c r="W245" s="169">
        <v>38</v>
      </c>
      <c r="X245" s="169">
        <f t="shared" si="44"/>
        <v>0</v>
      </c>
    </row>
    <row r="246" spans="1:24" ht="16.149999999999999" customHeight="1" x14ac:dyDescent="0.2">
      <c r="A246" s="176" t="s">
        <v>840</v>
      </c>
      <c r="B246" s="171">
        <v>37894</v>
      </c>
      <c r="C246" s="171" t="s">
        <v>203</v>
      </c>
      <c r="D246" s="165"/>
      <c r="E246" s="165"/>
      <c r="F246" s="165" t="s">
        <v>203</v>
      </c>
      <c r="G246" s="167">
        <v>167.01</v>
      </c>
      <c r="H246" s="167">
        <v>0</v>
      </c>
      <c r="I246" s="167">
        <f t="shared" si="45"/>
        <v>167.01</v>
      </c>
      <c r="J246" s="167">
        <v>167.01</v>
      </c>
      <c r="K246" s="167">
        <v>0</v>
      </c>
      <c r="L246" s="167">
        <f t="shared" si="40"/>
        <v>167.01</v>
      </c>
      <c r="M246" s="127">
        <f t="shared" si="46"/>
        <v>0</v>
      </c>
      <c r="N246" s="167">
        <f t="shared" si="47"/>
        <v>0</v>
      </c>
      <c r="O246" s="167">
        <f t="shared" si="48"/>
        <v>0</v>
      </c>
      <c r="P246" s="184" t="s">
        <v>203</v>
      </c>
      <c r="Q246" s="187"/>
      <c r="R246" s="128">
        <v>1</v>
      </c>
      <c r="S246" s="128">
        <v>1</v>
      </c>
      <c r="T246" s="169">
        <v>46</v>
      </c>
      <c r="U246" s="169">
        <v>46</v>
      </c>
      <c r="V246" s="169">
        <v>0</v>
      </c>
      <c r="W246" s="169">
        <v>46</v>
      </c>
      <c r="X246" s="169">
        <f t="shared" si="44"/>
        <v>0</v>
      </c>
    </row>
    <row r="247" spans="1:24" ht="16.149999999999999" customHeight="1" x14ac:dyDescent="0.2">
      <c r="A247" s="176" t="s">
        <v>841</v>
      </c>
      <c r="B247" s="171">
        <v>37382</v>
      </c>
      <c r="C247" s="196">
        <v>37665</v>
      </c>
      <c r="D247" s="165"/>
      <c r="E247" s="165"/>
      <c r="F247" s="165">
        <v>37955</v>
      </c>
      <c r="G247" s="167">
        <v>479.04</v>
      </c>
      <c r="H247" s="167">
        <v>0</v>
      </c>
      <c r="I247" s="167">
        <f t="shared" si="45"/>
        <v>479.04</v>
      </c>
      <c r="J247" s="167">
        <v>479.04</v>
      </c>
      <c r="K247" s="167">
        <v>0</v>
      </c>
      <c r="L247" s="167">
        <f t="shared" si="40"/>
        <v>479.04</v>
      </c>
      <c r="M247" s="127">
        <f t="shared" si="46"/>
        <v>0</v>
      </c>
      <c r="N247" s="167">
        <f t="shared" si="47"/>
        <v>0</v>
      </c>
      <c r="O247" s="167">
        <f t="shared" si="48"/>
        <v>0</v>
      </c>
      <c r="P247" s="167">
        <v>0</v>
      </c>
      <c r="Q247" s="187"/>
      <c r="R247" s="128">
        <v>1</v>
      </c>
      <c r="S247" s="128">
        <v>1</v>
      </c>
      <c r="T247" s="169">
        <v>137</v>
      </c>
      <c r="U247" s="169">
        <v>137</v>
      </c>
      <c r="V247" s="169">
        <v>0</v>
      </c>
      <c r="W247" s="169">
        <v>137</v>
      </c>
      <c r="X247" s="169">
        <f t="shared" si="44"/>
        <v>0</v>
      </c>
    </row>
    <row r="248" spans="1:24" ht="16.149999999999999" customHeight="1" x14ac:dyDescent="0.2">
      <c r="A248" s="176" t="s">
        <v>842</v>
      </c>
      <c r="B248" s="171">
        <v>37956</v>
      </c>
      <c r="C248" s="171" t="s">
        <v>203</v>
      </c>
      <c r="D248" s="165"/>
      <c r="E248" s="165"/>
      <c r="F248" s="165" t="s">
        <v>203</v>
      </c>
      <c r="G248" s="167">
        <f>351.98+18</f>
        <v>369.98</v>
      </c>
      <c r="H248" s="167">
        <v>0</v>
      </c>
      <c r="I248" s="167">
        <f t="shared" si="45"/>
        <v>369.98</v>
      </c>
      <c r="J248" s="167">
        <v>369.98</v>
      </c>
      <c r="K248" s="167">
        <v>0</v>
      </c>
      <c r="L248" s="167">
        <f t="shared" si="40"/>
        <v>369.98</v>
      </c>
      <c r="M248" s="127">
        <f t="shared" si="46"/>
        <v>0</v>
      </c>
      <c r="N248" s="167">
        <f t="shared" si="47"/>
        <v>0</v>
      </c>
      <c r="O248" s="167">
        <f t="shared" si="48"/>
        <v>0</v>
      </c>
      <c r="P248" s="184" t="s">
        <v>203</v>
      </c>
      <c r="Q248" s="187"/>
      <c r="R248" s="128">
        <v>1</v>
      </c>
      <c r="S248" s="128">
        <v>1</v>
      </c>
      <c r="T248" s="169">
        <v>90</v>
      </c>
      <c r="U248" s="169">
        <v>90</v>
      </c>
      <c r="V248" s="169">
        <v>0</v>
      </c>
      <c r="W248" s="169">
        <v>90</v>
      </c>
      <c r="X248" s="169">
        <f t="shared" si="44"/>
        <v>0</v>
      </c>
    </row>
    <row r="249" spans="1:24" ht="16.149999999999999" customHeight="1" x14ac:dyDescent="0.2">
      <c r="A249" s="176" t="s">
        <v>843</v>
      </c>
      <c r="B249" s="171">
        <v>37935</v>
      </c>
      <c r="C249" s="171">
        <v>38193</v>
      </c>
      <c r="D249" s="165"/>
      <c r="E249" s="165"/>
      <c r="F249" s="165">
        <v>38807</v>
      </c>
      <c r="G249" s="167">
        <f>185.1+11.2-0.47+6.33</f>
        <v>202.16</v>
      </c>
      <c r="H249" s="167">
        <v>0</v>
      </c>
      <c r="I249" s="167">
        <f t="shared" si="45"/>
        <v>202.16</v>
      </c>
      <c r="J249" s="167">
        <v>202.16</v>
      </c>
      <c r="K249" s="167">
        <v>0</v>
      </c>
      <c r="L249" s="167">
        <f t="shared" si="40"/>
        <v>202.16</v>
      </c>
      <c r="M249" s="127">
        <f t="shared" si="46"/>
        <v>0</v>
      </c>
      <c r="N249" s="167">
        <f t="shared" si="47"/>
        <v>0</v>
      </c>
      <c r="O249" s="167">
        <f t="shared" si="48"/>
        <v>0</v>
      </c>
      <c r="P249" s="167">
        <v>0</v>
      </c>
      <c r="Q249" s="187"/>
      <c r="R249" s="128">
        <v>1</v>
      </c>
      <c r="S249" s="128">
        <v>1</v>
      </c>
      <c r="T249" s="169">
        <v>56</v>
      </c>
      <c r="U249" s="169">
        <v>56</v>
      </c>
      <c r="V249" s="169">
        <v>0</v>
      </c>
      <c r="W249" s="169">
        <v>56</v>
      </c>
      <c r="X249" s="169">
        <f t="shared" si="44"/>
        <v>0</v>
      </c>
    </row>
    <row r="250" spans="1:24" ht="16.149999999999999" customHeight="1" x14ac:dyDescent="0.2">
      <c r="A250" s="176" t="s">
        <v>844</v>
      </c>
      <c r="B250" s="171">
        <v>38230</v>
      </c>
      <c r="C250" s="171">
        <v>38685</v>
      </c>
      <c r="D250" s="165"/>
      <c r="E250" s="165"/>
      <c r="F250" s="165">
        <v>39436</v>
      </c>
      <c r="G250" s="167">
        <f>100.52+2.68-0.28</f>
        <v>102.92</v>
      </c>
      <c r="H250" s="167">
        <v>0</v>
      </c>
      <c r="I250" s="167">
        <f t="shared" si="45"/>
        <v>102.92</v>
      </c>
      <c r="J250" s="167">
        <f>100.62+1.63+0.19+0.29+0.19</f>
        <v>102.92</v>
      </c>
      <c r="K250" s="167">
        <v>0</v>
      </c>
      <c r="L250" s="167">
        <f t="shared" si="40"/>
        <v>102.92</v>
      </c>
      <c r="M250" s="127">
        <f t="shared" si="46"/>
        <v>0</v>
      </c>
      <c r="N250" s="167">
        <f t="shared" si="47"/>
        <v>0</v>
      </c>
      <c r="O250" s="167">
        <f t="shared" si="48"/>
        <v>0</v>
      </c>
      <c r="P250" s="167">
        <v>0</v>
      </c>
      <c r="Q250" s="187"/>
      <c r="R250" s="128">
        <v>1</v>
      </c>
      <c r="S250" s="128">
        <v>1</v>
      </c>
      <c r="T250" s="169">
        <v>28</v>
      </c>
      <c r="U250" s="169">
        <v>28</v>
      </c>
      <c r="V250" s="169">
        <v>0</v>
      </c>
      <c r="W250" s="169">
        <v>28</v>
      </c>
      <c r="X250" s="169">
        <f t="shared" si="44"/>
        <v>0</v>
      </c>
    </row>
    <row r="251" spans="1:24" ht="16.149999999999999" customHeight="1" x14ac:dyDescent="0.2">
      <c r="A251" s="176" t="s">
        <v>845</v>
      </c>
      <c r="B251" s="171">
        <v>37963</v>
      </c>
      <c r="C251" s="171" t="s">
        <v>203</v>
      </c>
      <c r="D251" s="165"/>
      <c r="E251" s="165"/>
      <c r="F251" s="165" t="s">
        <v>203</v>
      </c>
      <c r="G251" s="167">
        <f>127.21+6.8+4.49-0.329</f>
        <v>138.17099999999999</v>
      </c>
      <c r="H251" s="167">
        <v>0</v>
      </c>
      <c r="I251" s="167">
        <f t="shared" si="45"/>
        <v>138.17099999999999</v>
      </c>
      <c r="J251" s="167">
        <f>129.92+3.72+4.11+0.33+0.091</f>
        <v>138.17100000000002</v>
      </c>
      <c r="K251" s="167">
        <v>0</v>
      </c>
      <c r="L251" s="167">
        <f t="shared" si="40"/>
        <v>138.17100000000002</v>
      </c>
      <c r="M251" s="127">
        <f t="shared" si="46"/>
        <v>0</v>
      </c>
      <c r="N251" s="167">
        <f t="shared" si="47"/>
        <v>0</v>
      </c>
      <c r="O251" s="167">
        <f t="shared" si="48"/>
        <v>0</v>
      </c>
      <c r="P251" s="184" t="s">
        <v>203</v>
      </c>
      <c r="Q251" s="187"/>
      <c r="R251" s="128">
        <v>1</v>
      </c>
      <c r="S251" s="128">
        <v>1</v>
      </c>
      <c r="T251" s="169">
        <v>34</v>
      </c>
      <c r="U251" s="169">
        <v>34</v>
      </c>
      <c r="V251" s="169">
        <v>0</v>
      </c>
      <c r="W251" s="169">
        <v>34</v>
      </c>
      <c r="X251" s="169">
        <f t="shared" si="44"/>
        <v>0</v>
      </c>
    </row>
    <row r="252" spans="1:24" ht="16.149999999999999" customHeight="1" x14ac:dyDescent="0.2">
      <c r="A252" s="176" t="s">
        <v>846</v>
      </c>
      <c r="B252" s="171">
        <v>38022</v>
      </c>
      <c r="C252" s="171">
        <v>38352</v>
      </c>
      <c r="D252" s="165"/>
      <c r="E252" s="165"/>
      <c r="F252" s="165">
        <v>38533</v>
      </c>
      <c r="G252" s="167">
        <f>552.3+2*(4.03-3.82)+30.23-0.87</f>
        <v>582.07999999999993</v>
      </c>
      <c r="H252" s="167">
        <v>0</v>
      </c>
      <c r="I252" s="167">
        <f t="shared" si="45"/>
        <v>582.07999999999993</v>
      </c>
      <c r="J252" s="167">
        <f>552.3+23.3+1.47+2.15+1.53+0.45+0.88</f>
        <v>582.07999999999993</v>
      </c>
      <c r="K252" s="167">
        <v>0</v>
      </c>
      <c r="L252" s="167">
        <f t="shared" si="40"/>
        <v>582.07999999999993</v>
      </c>
      <c r="M252" s="127">
        <f t="shared" si="46"/>
        <v>0</v>
      </c>
      <c r="N252" s="167">
        <f t="shared" si="47"/>
        <v>0</v>
      </c>
      <c r="O252" s="167">
        <f t="shared" si="48"/>
        <v>0</v>
      </c>
      <c r="P252" s="178">
        <f>92.48-26.73-3.82-15.48-7.84-30.96-7.65</f>
        <v>0</v>
      </c>
      <c r="Q252" s="187"/>
      <c r="R252" s="128">
        <v>0.96</v>
      </c>
      <c r="S252" s="128">
        <v>1</v>
      </c>
      <c r="T252" s="169">
        <v>143</v>
      </c>
      <c r="U252" s="169">
        <v>143</v>
      </c>
      <c r="V252" s="169">
        <v>0</v>
      </c>
      <c r="W252" s="169">
        <v>143</v>
      </c>
      <c r="X252" s="169">
        <f t="shared" si="44"/>
        <v>0</v>
      </c>
    </row>
    <row r="253" spans="1:24" ht="16.149999999999999" customHeight="1" x14ac:dyDescent="0.2">
      <c r="A253" s="176" t="s">
        <v>847</v>
      </c>
      <c r="B253" s="171">
        <v>37973</v>
      </c>
      <c r="C253" s="171" t="s">
        <v>203</v>
      </c>
      <c r="D253" s="165"/>
      <c r="E253" s="165"/>
      <c r="F253" s="165" t="s">
        <v>203</v>
      </c>
      <c r="G253" s="167">
        <f>305.31-0.33</f>
        <v>304.98</v>
      </c>
      <c r="H253" s="167">
        <v>0</v>
      </c>
      <c r="I253" s="167">
        <f t="shared" si="45"/>
        <v>304.98</v>
      </c>
      <c r="J253" s="167">
        <v>304.98</v>
      </c>
      <c r="K253" s="167">
        <v>0</v>
      </c>
      <c r="L253" s="167">
        <f t="shared" si="40"/>
        <v>304.98</v>
      </c>
      <c r="M253" s="127">
        <f t="shared" si="46"/>
        <v>0</v>
      </c>
      <c r="N253" s="167">
        <f t="shared" si="47"/>
        <v>0</v>
      </c>
      <c r="O253" s="167">
        <f t="shared" si="48"/>
        <v>0</v>
      </c>
      <c r="P253" s="184" t="s">
        <v>203</v>
      </c>
      <c r="Q253" s="187"/>
      <c r="R253" s="128">
        <v>1</v>
      </c>
      <c r="S253" s="128">
        <v>1</v>
      </c>
      <c r="T253" s="169">
        <v>76</v>
      </c>
      <c r="U253" s="169">
        <v>76</v>
      </c>
      <c r="V253" s="169">
        <v>0</v>
      </c>
      <c r="W253" s="169">
        <v>76</v>
      </c>
      <c r="X253" s="169">
        <f t="shared" si="44"/>
        <v>0</v>
      </c>
    </row>
    <row r="254" spans="1:24" ht="16.149999999999999" customHeight="1" x14ac:dyDescent="0.2">
      <c r="A254" s="176" t="s">
        <v>848</v>
      </c>
      <c r="B254" s="171">
        <v>38064</v>
      </c>
      <c r="C254" s="171" t="s">
        <v>203</v>
      </c>
      <c r="D254" s="165"/>
      <c r="E254" s="165"/>
      <c r="F254" s="165" t="s">
        <v>203</v>
      </c>
      <c r="G254" s="167">
        <f>73.19+4.27-1.35</f>
        <v>76.11</v>
      </c>
      <c r="H254" s="167">
        <v>0</v>
      </c>
      <c r="I254" s="167">
        <f t="shared" si="45"/>
        <v>76.11</v>
      </c>
      <c r="J254" s="167">
        <f>73.19+2.92</f>
        <v>76.11</v>
      </c>
      <c r="K254" s="167">
        <v>0</v>
      </c>
      <c r="L254" s="167">
        <f t="shared" si="40"/>
        <v>76.11</v>
      </c>
      <c r="M254" s="127">
        <f t="shared" si="46"/>
        <v>0</v>
      </c>
      <c r="N254" s="167">
        <f t="shared" si="47"/>
        <v>0</v>
      </c>
      <c r="O254" s="167">
        <f t="shared" si="48"/>
        <v>0</v>
      </c>
      <c r="P254" s="184" t="s">
        <v>203</v>
      </c>
      <c r="Q254" s="187"/>
      <c r="R254" s="128">
        <v>1</v>
      </c>
      <c r="S254" s="128">
        <v>1</v>
      </c>
      <c r="T254" s="169">
        <v>19</v>
      </c>
      <c r="U254" s="169">
        <v>19</v>
      </c>
      <c r="V254" s="169">
        <v>0</v>
      </c>
      <c r="W254" s="169">
        <v>19</v>
      </c>
      <c r="X254" s="169">
        <f t="shared" si="44"/>
        <v>0</v>
      </c>
    </row>
    <row r="255" spans="1:24" ht="16.149999999999999" customHeight="1" x14ac:dyDescent="0.2">
      <c r="A255" s="176" t="s">
        <v>849</v>
      </c>
      <c r="B255" s="171">
        <v>38183</v>
      </c>
      <c r="C255" s="171">
        <v>38332</v>
      </c>
      <c r="D255" s="165"/>
      <c r="E255" s="165"/>
      <c r="F255" s="165">
        <v>38533</v>
      </c>
      <c r="G255" s="167">
        <v>246.39</v>
      </c>
      <c r="H255" s="167">
        <v>0</v>
      </c>
      <c r="I255" s="167">
        <f t="shared" si="45"/>
        <v>246.39</v>
      </c>
      <c r="J255" s="167">
        <v>246.39</v>
      </c>
      <c r="K255" s="167">
        <v>0</v>
      </c>
      <c r="L255" s="167">
        <f t="shared" si="40"/>
        <v>246.39</v>
      </c>
      <c r="M255" s="127">
        <f t="shared" si="46"/>
        <v>0</v>
      </c>
      <c r="N255" s="167">
        <f t="shared" si="47"/>
        <v>0</v>
      </c>
      <c r="O255" s="167">
        <f t="shared" si="48"/>
        <v>0</v>
      </c>
      <c r="P255" s="178">
        <f>246.39-142.72-77.72-13-8.64-4.31</f>
        <v>-1.1546319456101628E-14</v>
      </c>
      <c r="Q255" s="187"/>
      <c r="R255" s="128">
        <v>1</v>
      </c>
      <c r="S255" s="128">
        <v>1</v>
      </c>
      <c r="T255" s="169">
        <v>57</v>
      </c>
      <c r="U255" s="169">
        <v>57</v>
      </c>
      <c r="V255" s="169">
        <v>0</v>
      </c>
      <c r="W255" s="169">
        <v>57</v>
      </c>
      <c r="X255" s="169">
        <f t="shared" si="44"/>
        <v>0</v>
      </c>
    </row>
    <row r="256" spans="1:24" ht="16.149999999999999" customHeight="1" x14ac:dyDescent="0.2">
      <c r="A256" s="176" t="s">
        <v>850</v>
      </c>
      <c r="B256" s="171">
        <v>38063</v>
      </c>
      <c r="C256" s="171" t="s">
        <v>203</v>
      </c>
      <c r="D256" s="165"/>
      <c r="E256" s="165"/>
      <c r="F256" s="165" t="s">
        <v>203</v>
      </c>
      <c r="G256" s="167">
        <f>375.26-0.06</f>
        <v>375.2</v>
      </c>
      <c r="H256" s="167">
        <v>0</v>
      </c>
      <c r="I256" s="167">
        <f t="shared" si="45"/>
        <v>375.2</v>
      </c>
      <c r="J256" s="167">
        <f>371.3+3.9</f>
        <v>375.2</v>
      </c>
      <c r="K256" s="167">
        <v>0</v>
      </c>
      <c r="L256" s="167">
        <f t="shared" si="40"/>
        <v>375.2</v>
      </c>
      <c r="M256" s="127">
        <f t="shared" si="46"/>
        <v>0</v>
      </c>
      <c r="N256" s="167">
        <f t="shared" si="47"/>
        <v>0</v>
      </c>
      <c r="O256" s="167">
        <f t="shared" si="48"/>
        <v>0</v>
      </c>
      <c r="P256" s="184" t="s">
        <v>203</v>
      </c>
      <c r="Q256" s="187"/>
      <c r="R256" s="128">
        <v>1</v>
      </c>
      <c r="S256" s="128">
        <v>1</v>
      </c>
      <c r="T256" s="169">
        <v>95</v>
      </c>
      <c r="U256" s="169">
        <v>95</v>
      </c>
      <c r="V256" s="169">
        <v>0</v>
      </c>
      <c r="W256" s="169">
        <v>95</v>
      </c>
      <c r="X256" s="169">
        <f t="shared" si="44"/>
        <v>0</v>
      </c>
    </row>
    <row r="257" spans="1:24" ht="16.149999999999999" customHeight="1" x14ac:dyDescent="0.2">
      <c r="A257" s="176" t="s">
        <v>851</v>
      </c>
      <c r="B257" s="171">
        <v>38064</v>
      </c>
      <c r="C257" s="171">
        <v>38365</v>
      </c>
      <c r="D257" s="165"/>
      <c r="E257" s="165"/>
      <c r="F257" s="165">
        <v>38594</v>
      </c>
      <c r="G257" s="167">
        <f>967.39-33.43+31.37</f>
        <v>965.33</v>
      </c>
      <c r="H257" s="167">
        <v>0</v>
      </c>
      <c r="I257" s="167">
        <f t="shared" si="45"/>
        <v>965.33</v>
      </c>
      <c r="J257" s="167">
        <f>773.73+191.6</f>
        <v>965.33</v>
      </c>
      <c r="K257" s="167">
        <v>0</v>
      </c>
      <c r="L257" s="167">
        <f t="shared" si="40"/>
        <v>965.33</v>
      </c>
      <c r="M257" s="127">
        <f t="shared" si="46"/>
        <v>0</v>
      </c>
      <c r="N257" s="167">
        <f t="shared" si="47"/>
        <v>0</v>
      </c>
      <c r="O257" s="167">
        <f t="shared" si="48"/>
        <v>0</v>
      </c>
      <c r="P257" s="167">
        <f>773.73+191.6-287.28-570.27-44.85-4.48-13.5-26.96-17.99</f>
        <v>8.8817841970012523E-14</v>
      </c>
      <c r="Q257" s="187"/>
      <c r="R257" s="128">
        <v>1</v>
      </c>
      <c r="S257" s="128">
        <v>1</v>
      </c>
      <c r="T257" s="169">
        <v>215</v>
      </c>
      <c r="U257" s="169">
        <v>215</v>
      </c>
      <c r="V257" s="169">
        <v>0</v>
      </c>
      <c r="W257" s="169">
        <v>215</v>
      </c>
      <c r="X257" s="169">
        <f t="shared" si="44"/>
        <v>0</v>
      </c>
    </row>
    <row r="258" spans="1:24" ht="16.149999999999999" customHeight="1" x14ac:dyDescent="0.2">
      <c r="A258" s="176" t="s">
        <v>852</v>
      </c>
      <c r="B258" s="171">
        <v>38078</v>
      </c>
      <c r="C258" s="171" t="s">
        <v>203</v>
      </c>
      <c r="D258" s="165"/>
      <c r="E258" s="165"/>
      <c r="F258" s="165" t="s">
        <v>203</v>
      </c>
      <c r="G258" s="167">
        <f>692.02-0.002</f>
        <v>692.01800000000003</v>
      </c>
      <c r="H258" s="167">
        <v>0</v>
      </c>
      <c r="I258" s="167">
        <f t="shared" si="45"/>
        <v>692.01800000000003</v>
      </c>
      <c r="J258" s="167">
        <f>691.558+0.46</f>
        <v>692.01800000000003</v>
      </c>
      <c r="K258" s="167">
        <v>0</v>
      </c>
      <c r="L258" s="167">
        <f t="shared" si="40"/>
        <v>692.01800000000003</v>
      </c>
      <c r="M258" s="127">
        <f t="shared" si="46"/>
        <v>0</v>
      </c>
      <c r="N258" s="167">
        <f t="shared" si="47"/>
        <v>0</v>
      </c>
      <c r="O258" s="167">
        <f t="shared" si="48"/>
        <v>0</v>
      </c>
      <c r="P258" s="184" t="s">
        <v>203</v>
      </c>
      <c r="Q258" s="187"/>
      <c r="R258" s="128">
        <v>1</v>
      </c>
      <c r="S258" s="128">
        <v>0.99760000000000004</v>
      </c>
      <c r="T258" s="169">
        <v>167</v>
      </c>
      <c r="U258" s="169">
        <v>167</v>
      </c>
      <c r="V258" s="169">
        <v>0</v>
      </c>
      <c r="W258" s="169">
        <v>167</v>
      </c>
      <c r="X258" s="169">
        <f t="shared" si="44"/>
        <v>0</v>
      </c>
    </row>
    <row r="259" spans="1:24" ht="16.149999999999999" customHeight="1" x14ac:dyDescent="0.2">
      <c r="A259" s="176" t="s">
        <v>853</v>
      </c>
      <c r="B259" s="171">
        <v>38078</v>
      </c>
      <c r="C259" s="171" t="s">
        <v>203</v>
      </c>
      <c r="D259" s="165"/>
      <c r="E259" s="165"/>
      <c r="F259" s="165" t="s">
        <v>203</v>
      </c>
      <c r="G259" s="167">
        <f>87.7+7.65-3.54</f>
        <v>91.81</v>
      </c>
      <c r="H259" s="167">
        <v>0</v>
      </c>
      <c r="I259" s="167">
        <f t="shared" si="45"/>
        <v>91.81</v>
      </c>
      <c r="J259" s="167">
        <v>91.81</v>
      </c>
      <c r="K259" s="167">
        <v>0</v>
      </c>
      <c r="L259" s="167">
        <f t="shared" si="40"/>
        <v>91.81</v>
      </c>
      <c r="M259" s="127">
        <f t="shared" si="46"/>
        <v>0</v>
      </c>
      <c r="N259" s="167">
        <f t="shared" si="47"/>
        <v>0</v>
      </c>
      <c r="O259" s="167">
        <f t="shared" si="48"/>
        <v>0</v>
      </c>
      <c r="P259" s="184" t="s">
        <v>203</v>
      </c>
      <c r="Q259" s="187"/>
      <c r="R259" s="128">
        <v>1</v>
      </c>
      <c r="S259" s="128">
        <v>0.77</v>
      </c>
      <c r="T259" s="169">
        <v>34</v>
      </c>
      <c r="U259" s="169">
        <v>34</v>
      </c>
      <c r="V259" s="169">
        <v>0</v>
      </c>
      <c r="W259" s="169">
        <v>33</v>
      </c>
      <c r="X259" s="169">
        <f t="shared" si="44"/>
        <v>1</v>
      </c>
    </row>
    <row r="260" spans="1:24" ht="16.149999999999999" customHeight="1" x14ac:dyDescent="0.2">
      <c r="A260" s="176" t="s">
        <v>854</v>
      </c>
      <c r="B260" s="171">
        <v>38124</v>
      </c>
      <c r="C260" s="171" t="s">
        <v>203</v>
      </c>
      <c r="D260" s="165"/>
      <c r="E260" s="165"/>
      <c r="F260" s="165" t="s">
        <v>203</v>
      </c>
      <c r="G260" s="167">
        <v>203.51</v>
      </c>
      <c r="H260" s="167">
        <v>0</v>
      </c>
      <c r="I260" s="167">
        <f t="shared" si="45"/>
        <v>203.51</v>
      </c>
      <c r="J260" s="167">
        <v>203.51</v>
      </c>
      <c r="K260" s="167">
        <v>0</v>
      </c>
      <c r="L260" s="167">
        <f t="shared" si="40"/>
        <v>203.51</v>
      </c>
      <c r="M260" s="127">
        <f t="shared" si="46"/>
        <v>0</v>
      </c>
      <c r="N260" s="167">
        <f t="shared" si="47"/>
        <v>0</v>
      </c>
      <c r="O260" s="167">
        <f t="shared" si="48"/>
        <v>0</v>
      </c>
      <c r="P260" s="184" t="s">
        <v>203</v>
      </c>
      <c r="Q260" s="187"/>
      <c r="R260" s="128">
        <v>1</v>
      </c>
      <c r="S260" s="128">
        <v>1</v>
      </c>
      <c r="T260" s="169">
        <v>47</v>
      </c>
      <c r="U260" s="169">
        <v>47</v>
      </c>
      <c r="V260" s="169">
        <v>0</v>
      </c>
      <c r="W260" s="169">
        <v>47</v>
      </c>
      <c r="X260" s="169">
        <f t="shared" si="44"/>
        <v>0</v>
      </c>
    </row>
    <row r="261" spans="1:24" ht="16.149999999999999" customHeight="1" x14ac:dyDescent="0.2">
      <c r="A261" s="176" t="s">
        <v>855</v>
      </c>
      <c r="B261" s="171">
        <v>38148</v>
      </c>
      <c r="C261" s="171" t="s">
        <v>203</v>
      </c>
      <c r="D261" s="165"/>
      <c r="E261" s="165"/>
      <c r="F261" s="165" t="s">
        <v>203</v>
      </c>
      <c r="G261" s="167">
        <f>119.07+8.88-0.602</f>
        <v>127.34799999999998</v>
      </c>
      <c r="H261" s="167">
        <v>0</v>
      </c>
      <c r="I261" s="167">
        <f t="shared" si="45"/>
        <v>127.34799999999998</v>
      </c>
      <c r="J261" s="167">
        <v>127.348</v>
      </c>
      <c r="K261" s="167">
        <v>0</v>
      </c>
      <c r="L261" s="167">
        <f t="shared" si="40"/>
        <v>127.348</v>
      </c>
      <c r="M261" s="127">
        <f t="shared" si="46"/>
        <v>0</v>
      </c>
      <c r="N261" s="167">
        <f t="shared" si="47"/>
        <v>0</v>
      </c>
      <c r="O261" s="167">
        <f t="shared" si="48"/>
        <v>0</v>
      </c>
      <c r="P261" s="184" t="s">
        <v>203</v>
      </c>
      <c r="Q261" s="187"/>
      <c r="R261" s="128">
        <v>1</v>
      </c>
      <c r="S261" s="128">
        <v>1</v>
      </c>
      <c r="T261" s="169">
        <v>30</v>
      </c>
      <c r="U261" s="169">
        <v>30</v>
      </c>
      <c r="V261" s="169">
        <v>0</v>
      </c>
      <c r="W261" s="169">
        <v>30</v>
      </c>
      <c r="X261" s="169">
        <f t="shared" si="44"/>
        <v>0</v>
      </c>
    </row>
    <row r="262" spans="1:24" ht="16.149999999999999" customHeight="1" x14ac:dyDescent="0.2">
      <c r="A262" s="176" t="s">
        <v>856</v>
      </c>
      <c r="B262" s="171">
        <v>38260</v>
      </c>
      <c r="C262" s="171">
        <v>38716</v>
      </c>
      <c r="D262" s="165"/>
      <c r="E262" s="165"/>
      <c r="F262" s="165">
        <v>39436</v>
      </c>
      <c r="G262" s="167">
        <f>210.58-1.64928157</f>
        <v>208.93071843000001</v>
      </c>
      <c r="H262" s="167">
        <v>0</v>
      </c>
      <c r="I262" s="167">
        <f t="shared" si="45"/>
        <v>208.93071843000001</v>
      </c>
      <c r="J262" s="167">
        <f>181.709+27.22171843</f>
        <v>208.93071843000001</v>
      </c>
      <c r="K262" s="167">
        <v>0</v>
      </c>
      <c r="L262" s="167">
        <f t="shared" si="40"/>
        <v>208.93071843000001</v>
      </c>
      <c r="M262" s="130">
        <f t="shared" si="46"/>
        <v>0</v>
      </c>
      <c r="N262" s="167">
        <f t="shared" si="47"/>
        <v>0</v>
      </c>
      <c r="O262" s="167">
        <f t="shared" si="48"/>
        <v>0</v>
      </c>
      <c r="P262" s="178">
        <v>0</v>
      </c>
      <c r="Q262" s="187"/>
      <c r="R262" s="128">
        <v>1</v>
      </c>
      <c r="S262" s="128">
        <v>1</v>
      </c>
      <c r="T262" s="169">
        <v>55</v>
      </c>
      <c r="U262" s="169">
        <v>55</v>
      </c>
      <c r="V262" s="169">
        <v>0</v>
      </c>
      <c r="W262" s="169">
        <v>55</v>
      </c>
      <c r="X262" s="169">
        <f t="shared" si="44"/>
        <v>0</v>
      </c>
    </row>
    <row r="263" spans="1:24" ht="16.149999999999999" customHeight="1" x14ac:dyDescent="0.2">
      <c r="A263" s="176" t="s">
        <v>857</v>
      </c>
      <c r="B263" s="171">
        <v>38328</v>
      </c>
      <c r="C263" s="171">
        <v>38594</v>
      </c>
      <c r="D263" s="165"/>
      <c r="E263" s="165"/>
      <c r="F263" s="165">
        <v>38807</v>
      </c>
      <c r="G263" s="167">
        <v>305.86</v>
      </c>
      <c r="H263" s="167">
        <v>0</v>
      </c>
      <c r="I263" s="167">
        <f t="shared" si="45"/>
        <v>305.86</v>
      </c>
      <c r="J263" s="167">
        <f>176.01+86.56+43.29</f>
        <v>305.86</v>
      </c>
      <c r="K263" s="167">
        <v>0</v>
      </c>
      <c r="L263" s="167">
        <f t="shared" si="40"/>
        <v>305.86</v>
      </c>
      <c r="M263" s="127">
        <f t="shared" si="46"/>
        <v>0</v>
      </c>
      <c r="N263" s="167">
        <f t="shared" si="47"/>
        <v>0</v>
      </c>
      <c r="O263" s="167">
        <f t="shared" si="48"/>
        <v>0</v>
      </c>
      <c r="P263" s="178">
        <v>0</v>
      </c>
      <c r="Q263" s="187"/>
      <c r="R263" s="128">
        <v>1</v>
      </c>
      <c r="S263" s="128">
        <v>1</v>
      </c>
      <c r="T263" s="169">
        <v>76</v>
      </c>
      <c r="U263" s="169">
        <v>76</v>
      </c>
      <c r="V263" s="169">
        <v>0</v>
      </c>
      <c r="W263" s="169">
        <v>76</v>
      </c>
      <c r="X263" s="169">
        <f t="shared" si="44"/>
        <v>0</v>
      </c>
    </row>
    <row r="264" spans="1:24" ht="16.149999999999999" customHeight="1" x14ac:dyDescent="0.2">
      <c r="A264" s="176" t="s">
        <v>3</v>
      </c>
      <c r="B264" s="171">
        <v>38484</v>
      </c>
      <c r="C264" s="171">
        <v>39097</v>
      </c>
      <c r="D264" s="165"/>
      <c r="E264" s="165"/>
      <c r="F264" s="165">
        <v>39691</v>
      </c>
      <c r="G264" s="167">
        <f>857.53+3.35+2.3+15.01+106.81</f>
        <v>985</v>
      </c>
      <c r="H264" s="167">
        <v>0</v>
      </c>
      <c r="I264" s="167">
        <f t="shared" si="45"/>
        <v>985</v>
      </c>
      <c r="J264" s="167">
        <f>747.67+48.17+37.32+18.66+6.22+6.22+6.22+6.22+6.22+6.22+6.22+18.67</f>
        <v>914.03000000000009</v>
      </c>
      <c r="K264" s="167">
        <v>0</v>
      </c>
      <c r="L264" s="167">
        <f t="shared" si="40"/>
        <v>914.03000000000009</v>
      </c>
      <c r="M264" s="127">
        <f t="shared" si="46"/>
        <v>70.969999999999914</v>
      </c>
      <c r="N264" s="167">
        <f t="shared" si="47"/>
        <v>0</v>
      </c>
      <c r="O264" s="167">
        <f t="shared" si="48"/>
        <v>70.969999999999914</v>
      </c>
      <c r="P264" s="167">
        <f>83.52-12.61-9.45-4.73-1.57-1.57-1.58-1.58-1.58-1.58-1.58-4.72-6.33</f>
        <v>34.64</v>
      </c>
      <c r="Q264" s="187"/>
      <c r="R264" s="128">
        <v>0.91739999999999999</v>
      </c>
      <c r="S264" s="128">
        <v>0.68</v>
      </c>
      <c r="T264" s="169">
        <v>194</v>
      </c>
      <c r="U264" s="169">
        <v>194</v>
      </c>
      <c r="V264" s="169">
        <v>1</v>
      </c>
      <c r="W264" s="169">
        <v>168</v>
      </c>
      <c r="X264" s="169">
        <f t="shared" si="44"/>
        <v>26</v>
      </c>
    </row>
    <row r="265" spans="1:24" ht="16.149999999999999" customHeight="1" x14ac:dyDescent="0.2">
      <c r="A265" s="173" t="s">
        <v>4</v>
      </c>
      <c r="B265" s="171">
        <v>38776</v>
      </c>
      <c r="C265" s="171" t="s">
        <v>203</v>
      </c>
      <c r="D265" s="165"/>
      <c r="E265" s="165"/>
      <c r="F265" s="165" t="s">
        <v>203</v>
      </c>
      <c r="G265" s="167">
        <v>661.18420527000001</v>
      </c>
      <c r="H265" s="167">
        <v>0</v>
      </c>
      <c r="I265" s="167">
        <f t="shared" si="45"/>
        <v>661.18420527000001</v>
      </c>
      <c r="J265" s="167">
        <v>556.44671500000004</v>
      </c>
      <c r="K265" s="167">
        <v>0</v>
      </c>
      <c r="L265" s="167">
        <f t="shared" si="40"/>
        <v>556.44671500000004</v>
      </c>
      <c r="M265" s="127">
        <f t="shared" si="46"/>
        <v>104.73749026999997</v>
      </c>
      <c r="N265" s="167">
        <f t="shared" si="47"/>
        <v>0</v>
      </c>
      <c r="O265" s="167">
        <f t="shared" si="48"/>
        <v>104.73749026999997</v>
      </c>
      <c r="P265" s="184" t="s">
        <v>203</v>
      </c>
      <c r="Q265" s="187"/>
      <c r="R265" s="128">
        <v>0.84</v>
      </c>
      <c r="S265" s="128">
        <v>0.8</v>
      </c>
      <c r="T265" s="174">
        <v>139</v>
      </c>
      <c r="U265" s="174">
        <v>139</v>
      </c>
      <c r="V265" s="174">
        <v>1</v>
      </c>
      <c r="W265" s="169">
        <v>117</v>
      </c>
      <c r="X265" s="169">
        <f t="shared" si="44"/>
        <v>22</v>
      </c>
    </row>
    <row r="266" spans="1:24" ht="16.149999999999999" customHeight="1" x14ac:dyDescent="0.2">
      <c r="A266" s="176" t="s">
        <v>414</v>
      </c>
      <c r="B266" s="171" t="s">
        <v>224</v>
      </c>
      <c r="C266" s="171">
        <v>40502</v>
      </c>
      <c r="D266" s="165"/>
      <c r="E266" s="165"/>
      <c r="F266" s="165"/>
      <c r="G266" s="167">
        <f>510.57-123.66</f>
        <v>386.90999999999997</v>
      </c>
      <c r="H266" s="167">
        <v>1261.31</v>
      </c>
      <c r="I266" s="167">
        <f t="shared" si="45"/>
        <v>1648.2199999999998</v>
      </c>
      <c r="J266" s="167">
        <f>21.9+213.75+100.77+8.65+5.79+5.8</f>
        <v>356.66</v>
      </c>
      <c r="K266" s="167">
        <f>918.41+45.6+89.74+10.42+8.02</f>
        <v>1072.19</v>
      </c>
      <c r="L266" s="167">
        <f t="shared" si="40"/>
        <v>1428.8500000000001</v>
      </c>
      <c r="M266" s="127">
        <f t="shared" si="46"/>
        <v>30.249999999999943</v>
      </c>
      <c r="N266" s="167">
        <f t="shared" si="47"/>
        <v>189.11999999999989</v>
      </c>
      <c r="O266" s="167">
        <f t="shared" si="48"/>
        <v>219.36999999999983</v>
      </c>
      <c r="P266" s="167">
        <f>21.9+213.75+100.77+8.65+5.79-142.9-5.65-107.18-16.52-16.52-5.09-24.79-8.26-8.93-8.26+5.8-8.26</f>
        <v>4.3000000000000025</v>
      </c>
      <c r="Q266" s="187"/>
      <c r="R266" s="128">
        <v>0.99</v>
      </c>
      <c r="S266" s="128">
        <v>0.77</v>
      </c>
      <c r="T266" s="169">
        <f>59-11</f>
        <v>48</v>
      </c>
      <c r="U266" s="169">
        <v>152</v>
      </c>
      <c r="V266" s="169">
        <v>0</v>
      </c>
      <c r="W266" s="169">
        <v>41</v>
      </c>
      <c r="X266" s="169">
        <f t="shared" si="44"/>
        <v>7</v>
      </c>
    </row>
    <row r="267" spans="1:24" ht="16.149999999999999" customHeight="1" x14ac:dyDescent="0.2">
      <c r="A267" s="176" t="s">
        <v>5</v>
      </c>
      <c r="B267" s="171" t="s">
        <v>386</v>
      </c>
      <c r="C267" s="171">
        <v>40496</v>
      </c>
      <c r="D267" s="165"/>
      <c r="E267" s="165"/>
      <c r="F267" s="165" t="s">
        <v>858</v>
      </c>
      <c r="G267" s="167">
        <f>1852.44-11.65+78.33+12.41</f>
        <v>1931.53</v>
      </c>
      <c r="H267" s="167">
        <f>755.31+2.84</f>
        <v>758.15</v>
      </c>
      <c r="I267" s="167">
        <f t="shared" si="45"/>
        <v>2689.68</v>
      </c>
      <c r="J267" s="167">
        <f>85.94+693.93+693.93+78.33+1.34+12.41+1.28+0.09</f>
        <v>1567.2499999999995</v>
      </c>
      <c r="K267" s="167">
        <f>696.09+0.21+2.84</f>
        <v>699.1400000000001</v>
      </c>
      <c r="L267" s="167">
        <f t="shared" si="40"/>
        <v>2266.3899999999994</v>
      </c>
      <c r="M267" s="127">
        <f t="shared" si="46"/>
        <v>364.28000000000043</v>
      </c>
      <c r="N267" s="167">
        <f t="shared" si="47"/>
        <v>59.009999999999877</v>
      </c>
      <c r="O267" s="167">
        <f t="shared" si="48"/>
        <v>423.2900000000003</v>
      </c>
      <c r="P267" s="167">
        <f>85.94+693.93+693.93-46.41-22.16-13.27-16.1-36.51-6.63-12.17+78.33-935.59-10.54-42.05-42.53-21.03+1.34+12.41-28.56-25.52-16.38-8.19-23.02+1.28+0.09-8.19</f>
        <v>252.39999999999941</v>
      </c>
      <c r="Q267" s="187"/>
      <c r="R267" s="128">
        <v>1</v>
      </c>
      <c r="S267" s="128">
        <v>1</v>
      </c>
      <c r="T267" s="169">
        <f>219-1</f>
        <v>218</v>
      </c>
      <c r="U267" s="169">
        <v>250</v>
      </c>
      <c r="V267" s="169">
        <v>22</v>
      </c>
      <c r="W267" s="169">
        <v>139</v>
      </c>
      <c r="X267" s="169">
        <f t="shared" si="44"/>
        <v>79</v>
      </c>
    </row>
    <row r="268" spans="1:24" ht="16.149999999999999" customHeight="1" x14ac:dyDescent="0.2">
      <c r="A268" s="176" t="s">
        <v>481</v>
      </c>
      <c r="B268" s="171" t="s">
        <v>548</v>
      </c>
      <c r="C268" s="171">
        <v>40426</v>
      </c>
      <c r="D268" s="165" t="s">
        <v>482</v>
      </c>
      <c r="E268" s="165"/>
      <c r="F268" s="165" t="s">
        <v>482</v>
      </c>
      <c r="G268" s="167">
        <f>1837.39+11.62+73.89+2.31</f>
        <v>1925.21</v>
      </c>
      <c r="H268" s="167">
        <f>985.03+28.7+2.93</f>
        <v>1016.66</v>
      </c>
      <c r="I268" s="167">
        <f t="shared" si="45"/>
        <v>2941.87</v>
      </c>
      <c r="J268" s="167">
        <f>49.68+420.1+541.94+4.61+354.52+148.14+50+0.55+36.54+27.09+6.5+3.69+2.31+12.42+25.94</f>
        <v>1684.0299999999997</v>
      </c>
      <c r="K268" s="167">
        <f>730.69+101.52+3.06+38.4+10.8+0.07+2.93+6.97+13.43</f>
        <v>907.86999999999989</v>
      </c>
      <c r="L268" s="167">
        <f t="shared" si="40"/>
        <v>2591.8999999999996</v>
      </c>
      <c r="M268" s="127">
        <f t="shared" si="46"/>
        <v>241.18000000000029</v>
      </c>
      <c r="N268" s="167">
        <f t="shared" si="47"/>
        <v>108.79000000000008</v>
      </c>
      <c r="O268" s="167">
        <f t="shared" si="48"/>
        <v>349.97000000000037</v>
      </c>
      <c r="P268" s="167">
        <f>34.06+15.62+420.1+541.94+4.61+354.52+148.14-441.38-154.5+50+0.55-9.23-280.79-364.25-61.48-8.71-8.71-156.75-8.71-17.42-8.7-8.71-8.71-31.49+36.54+27.09+6.5+3.69-8.71+2.31+12.42+25.94-8.71</f>
        <v>97.069999999999595</v>
      </c>
      <c r="Q268" s="187"/>
      <c r="R268" s="128">
        <v>1</v>
      </c>
      <c r="S268" s="128">
        <v>1</v>
      </c>
      <c r="T268" s="169">
        <v>208</v>
      </c>
      <c r="U268" s="169">
        <v>208</v>
      </c>
      <c r="V268" s="169">
        <v>0</v>
      </c>
      <c r="W268" s="169">
        <v>208</v>
      </c>
      <c r="X268" s="169">
        <f t="shared" si="44"/>
        <v>0</v>
      </c>
    </row>
    <row r="269" spans="1:24" ht="16.149999999999999" customHeight="1" x14ac:dyDescent="0.2">
      <c r="A269" s="176" t="s">
        <v>6</v>
      </c>
      <c r="B269" s="171" t="s">
        <v>1287</v>
      </c>
      <c r="C269" s="171">
        <v>39663</v>
      </c>
      <c r="D269" s="165" t="s">
        <v>859</v>
      </c>
      <c r="E269" s="165"/>
      <c r="F269" s="165" t="s">
        <v>1288</v>
      </c>
      <c r="G269" s="167">
        <f>435.35+13.2</f>
        <v>448.55</v>
      </c>
      <c r="H269" s="167">
        <f>340.37+6.4+15.6+5</f>
        <v>367.37</v>
      </c>
      <c r="I269" s="167">
        <f t="shared" si="45"/>
        <v>815.92000000000007</v>
      </c>
      <c r="J269" s="167">
        <f>430.51+1.71+0.71+3.73</f>
        <v>436.65999999999997</v>
      </c>
      <c r="K269" s="167">
        <f>279.1+15.366+1.14+0.49+1.17+1.4+1.69+1.08+0.89+1.51+0.57+18.56+5.2+0.67+0.69+1.29+1.04+0.7+1.53+1.49+1.41+0.52</f>
        <v>337.50599999999997</v>
      </c>
      <c r="L269" s="167">
        <f t="shared" si="40"/>
        <v>774.16599999999994</v>
      </c>
      <c r="M269" s="127">
        <f t="shared" si="46"/>
        <v>11.890000000000043</v>
      </c>
      <c r="N269" s="167">
        <f t="shared" si="47"/>
        <v>29.864000000000033</v>
      </c>
      <c r="O269" s="167">
        <f t="shared" si="48"/>
        <v>41.754000000000076</v>
      </c>
      <c r="P269" s="167">
        <f>244.18+1.71+0.71-13.31+3.73</f>
        <v>237.02</v>
      </c>
      <c r="Q269" s="187"/>
      <c r="R269" s="128">
        <v>1</v>
      </c>
      <c r="S269" s="128">
        <v>1</v>
      </c>
      <c r="T269" s="169">
        <v>101</v>
      </c>
      <c r="U269" s="169">
        <v>146</v>
      </c>
      <c r="V269" s="169">
        <v>0</v>
      </c>
      <c r="W269" s="169">
        <v>45</v>
      </c>
      <c r="X269" s="169">
        <f t="shared" si="44"/>
        <v>56</v>
      </c>
    </row>
    <row r="270" spans="1:24" ht="16.149999999999999" customHeight="1" x14ac:dyDescent="0.2">
      <c r="A270" s="176" t="s">
        <v>860</v>
      </c>
      <c r="B270" s="171">
        <v>39282</v>
      </c>
      <c r="C270" s="171" t="s">
        <v>203</v>
      </c>
      <c r="D270" s="165" t="s">
        <v>203</v>
      </c>
      <c r="E270" s="165" t="s">
        <v>203</v>
      </c>
      <c r="F270" s="165" t="s">
        <v>203</v>
      </c>
      <c r="G270" s="167">
        <v>207.49</v>
      </c>
      <c r="H270" s="167">
        <v>0</v>
      </c>
      <c r="I270" s="167">
        <f t="shared" si="45"/>
        <v>207.49</v>
      </c>
      <c r="J270" s="167">
        <v>207.49</v>
      </c>
      <c r="K270" s="167">
        <v>0</v>
      </c>
      <c r="L270" s="167">
        <f t="shared" si="40"/>
        <v>207.49</v>
      </c>
      <c r="M270" s="127">
        <f t="shared" si="46"/>
        <v>0</v>
      </c>
      <c r="N270" s="167">
        <f t="shared" si="47"/>
        <v>0</v>
      </c>
      <c r="O270" s="167">
        <f t="shared" si="48"/>
        <v>0</v>
      </c>
      <c r="P270" s="184" t="s">
        <v>203</v>
      </c>
      <c r="Q270" s="187"/>
      <c r="R270" s="128">
        <v>1</v>
      </c>
      <c r="S270" s="128">
        <v>1</v>
      </c>
      <c r="T270" s="169">
        <v>32</v>
      </c>
      <c r="U270" s="169">
        <v>32</v>
      </c>
      <c r="V270" s="169">
        <v>0</v>
      </c>
      <c r="W270" s="169">
        <v>32</v>
      </c>
      <c r="X270" s="169">
        <f t="shared" si="44"/>
        <v>0</v>
      </c>
    </row>
    <row r="271" spans="1:24" ht="16.149999999999999" customHeight="1" x14ac:dyDescent="0.2">
      <c r="A271" s="176" t="s">
        <v>7</v>
      </c>
      <c r="B271" s="171">
        <v>39295</v>
      </c>
      <c r="C271" s="171">
        <v>39917</v>
      </c>
      <c r="D271" s="165" t="s">
        <v>246</v>
      </c>
      <c r="E271" s="165"/>
      <c r="F271" s="165">
        <v>39917</v>
      </c>
      <c r="G271" s="167">
        <v>840.92</v>
      </c>
      <c r="H271" s="167">
        <f>237.97+32.48</f>
        <v>270.45</v>
      </c>
      <c r="I271" s="167">
        <f t="shared" si="45"/>
        <v>1111.3699999999999</v>
      </c>
      <c r="J271" s="167">
        <f>763.2+9.72+9.72+4.85+4.86+4.86+4.86</f>
        <v>802.07000000000016</v>
      </c>
      <c r="K271" s="167">
        <v>237.97</v>
      </c>
      <c r="L271" s="167">
        <f t="shared" si="40"/>
        <v>1040.0400000000002</v>
      </c>
      <c r="M271" s="127">
        <f t="shared" si="46"/>
        <v>38.849999999999795</v>
      </c>
      <c r="N271" s="167">
        <f t="shared" si="47"/>
        <v>32.47999999999999</v>
      </c>
      <c r="O271" s="167">
        <f t="shared" si="48"/>
        <v>71.329999999999785</v>
      </c>
      <c r="P271" s="167">
        <f>685.49-6.17-18.52-18.43-18.53-6.17-12.35-24.69-556.24-6.17-5.87-6.18</f>
        <v>6.1700000000000976</v>
      </c>
      <c r="Q271" s="187"/>
      <c r="R271" s="128">
        <v>1</v>
      </c>
      <c r="S271" s="128">
        <v>1</v>
      </c>
      <c r="T271" s="169">
        <v>144</v>
      </c>
      <c r="U271" s="169">
        <v>144</v>
      </c>
      <c r="V271" s="169">
        <v>1</v>
      </c>
      <c r="W271" s="169">
        <v>135</v>
      </c>
      <c r="X271" s="169">
        <f t="shared" si="44"/>
        <v>9</v>
      </c>
    </row>
    <row r="272" spans="1:24" ht="16.149999999999999" customHeight="1" x14ac:dyDescent="0.2">
      <c r="A272" s="176" t="s">
        <v>8</v>
      </c>
      <c r="B272" s="171" t="s">
        <v>225</v>
      </c>
      <c r="C272" s="171">
        <v>39851</v>
      </c>
      <c r="D272" s="165"/>
      <c r="E272" s="165"/>
      <c r="F272" s="165"/>
      <c r="G272" s="167">
        <f>303.55-44.26</f>
        <v>259.29000000000002</v>
      </c>
      <c r="H272" s="167">
        <f>397.77+126.18-126.18</f>
        <v>397.77000000000004</v>
      </c>
      <c r="I272" s="167">
        <f t="shared" si="45"/>
        <v>657.06000000000006</v>
      </c>
      <c r="J272" s="167">
        <f>182.92+13.46+1.48</f>
        <v>197.85999999999999</v>
      </c>
      <c r="K272" s="167">
        <f>351.94+17.57+5.48</f>
        <v>374.99</v>
      </c>
      <c r="L272" s="167">
        <f t="shared" si="40"/>
        <v>572.85</v>
      </c>
      <c r="M272" s="127">
        <f t="shared" si="46"/>
        <v>61.430000000000035</v>
      </c>
      <c r="N272" s="167">
        <f t="shared" si="47"/>
        <v>22.78000000000003</v>
      </c>
      <c r="O272" s="167">
        <f t="shared" si="48"/>
        <v>84.210000000000065</v>
      </c>
      <c r="P272" s="167">
        <f>50.49+13.9+28.03+35.24+22.1+23.81+9.35-18.09-123.69-8.53+13.46+1.48-6.08-3.04-32.34-6.09</f>
        <v>-1.7763568394002505E-14</v>
      </c>
      <c r="Q272" s="187"/>
      <c r="R272" s="128">
        <v>0.8</v>
      </c>
      <c r="S272" s="128">
        <v>0.97</v>
      </c>
      <c r="T272" s="169">
        <v>76</v>
      </c>
      <c r="U272" s="169">
        <v>254</v>
      </c>
      <c r="V272" s="169">
        <v>0</v>
      </c>
      <c r="W272" s="169">
        <v>52</v>
      </c>
      <c r="X272" s="169">
        <f t="shared" si="44"/>
        <v>24</v>
      </c>
    </row>
    <row r="273" spans="1:24" ht="16.149999999999999" customHeight="1" x14ac:dyDescent="0.2">
      <c r="A273" s="176" t="s">
        <v>861</v>
      </c>
      <c r="B273" s="171" t="s">
        <v>862</v>
      </c>
      <c r="C273" s="171" t="s">
        <v>863</v>
      </c>
      <c r="D273" s="165" t="s">
        <v>864</v>
      </c>
      <c r="E273" s="165" t="s">
        <v>864</v>
      </c>
      <c r="F273" s="165" t="s">
        <v>864</v>
      </c>
      <c r="G273" s="167">
        <f>699.3+404+37.63</f>
        <v>1140.93</v>
      </c>
      <c r="H273" s="167">
        <v>0</v>
      </c>
      <c r="I273" s="167">
        <f t="shared" si="45"/>
        <v>1140.93</v>
      </c>
      <c r="J273" s="167">
        <f>699.3+404+37.63</f>
        <v>1140.93</v>
      </c>
      <c r="K273" s="167">
        <v>0</v>
      </c>
      <c r="L273" s="167">
        <f t="shared" si="40"/>
        <v>1140.93</v>
      </c>
      <c r="M273" s="127">
        <f t="shared" si="46"/>
        <v>0</v>
      </c>
      <c r="N273" s="167">
        <f t="shared" si="47"/>
        <v>0</v>
      </c>
      <c r="O273" s="167">
        <f t="shared" si="48"/>
        <v>0</v>
      </c>
      <c r="P273" s="167">
        <f>644.35+14.19+268.46+176.3-441.81+37.63-8.5-156.88-242.05-66.03-19.99-56.03-10-63.61-53.61-11.21-11.21</f>
        <v>-1.4210854715202004E-14</v>
      </c>
      <c r="Q273" s="187"/>
      <c r="R273" s="128">
        <v>1</v>
      </c>
      <c r="S273" s="128" t="s">
        <v>865</v>
      </c>
      <c r="T273" s="169">
        <v>117</v>
      </c>
      <c r="U273" s="169">
        <v>117</v>
      </c>
      <c r="V273" s="169">
        <v>0</v>
      </c>
      <c r="W273" s="169">
        <v>117</v>
      </c>
      <c r="X273" s="169">
        <f t="shared" si="44"/>
        <v>0</v>
      </c>
    </row>
    <row r="274" spans="1:24" ht="16.149999999999999" customHeight="1" x14ac:dyDescent="0.2">
      <c r="A274" s="176" t="s">
        <v>290</v>
      </c>
      <c r="B274" s="171" t="s">
        <v>291</v>
      </c>
      <c r="C274" s="171">
        <v>39927</v>
      </c>
      <c r="D274" s="165"/>
      <c r="E274" s="165" t="s">
        <v>203</v>
      </c>
      <c r="F274" s="165"/>
      <c r="G274" s="167">
        <v>0</v>
      </c>
      <c r="H274" s="167">
        <f>1074.79+22.53-6.82</f>
        <v>1090.5</v>
      </c>
      <c r="I274" s="167">
        <f t="shared" ref="I274:I305" si="49">G274+H274</f>
        <v>1090.5</v>
      </c>
      <c r="J274" s="167">
        <v>0</v>
      </c>
      <c r="K274" s="167">
        <f>1025.26+34.67+0.53+26.21+3.83</f>
        <v>1090.5</v>
      </c>
      <c r="L274" s="167">
        <f t="shared" ref="L274:L337" si="50">J274+K274</f>
        <v>1090.5</v>
      </c>
      <c r="M274" s="127">
        <f t="shared" ref="M274:M305" si="51">G274-J274</f>
        <v>0</v>
      </c>
      <c r="N274" s="167">
        <f t="shared" ref="N274:N305" si="52">H274-K274</f>
        <v>0</v>
      </c>
      <c r="O274" s="167">
        <f t="shared" ref="O274:O305" si="53">M274+N274</f>
        <v>0</v>
      </c>
      <c r="P274" s="167">
        <v>0</v>
      </c>
      <c r="Q274" s="187"/>
      <c r="R274" s="128">
        <v>1</v>
      </c>
      <c r="S274" s="128" t="s">
        <v>203</v>
      </c>
      <c r="T274" s="169">
        <v>0</v>
      </c>
      <c r="U274" s="181">
        <v>3300</v>
      </c>
      <c r="V274" s="169">
        <v>0</v>
      </c>
      <c r="W274" s="169">
        <v>0</v>
      </c>
      <c r="X274" s="169">
        <f t="shared" si="44"/>
        <v>0</v>
      </c>
    </row>
    <row r="275" spans="1:24" ht="16.149999999999999" customHeight="1" x14ac:dyDescent="0.2">
      <c r="A275" s="176" t="s">
        <v>9</v>
      </c>
      <c r="B275" s="197">
        <v>39799</v>
      </c>
      <c r="C275" s="171">
        <v>40323</v>
      </c>
      <c r="D275" s="165"/>
      <c r="E275" s="165"/>
      <c r="F275" s="165"/>
      <c r="G275" s="167">
        <v>374.51</v>
      </c>
      <c r="H275" s="167">
        <f>320.99+32.07</f>
        <v>353.06</v>
      </c>
      <c r="I275" s="167">
        <f t="shared" si="49"/>
        <v>727.56999999999994</v>
      </c>
      <c r="J275" s="167">
        <f>37.77+14.27+195.27+62.13</f>
        <v>309.44</v>
      </c>
      <c r="K275" s="167">
        <f>8.1+228.81+4.13+23.69</f>
        <v>264.73</v>
      </c>
      <c r="L275" s="167">
        <f t="shared" si="50"/>
        <v>574.17000000000007</v>
      </c>
      <c r="M275" s="127">
        <f t="shared" si="51"/>
        <v>65.069999999999993</v>
      </c>
      <c r="N275" s="167">
        <f t="shared" si="52"/>
        <v>88.329999999999984</v>
      </c>
      <c r="O275" s="167">
        <f t="shared" si="53"/>
        <v>153.39999999999998</v>
      </c>
      <c r="P275" s="167">
        <f>37.77+14.27+195.27+62.13-164.21+9.753-20.56-0.66-13.7-16.61-0.41-1.35-48.17-43.77-9.75</f>
        <v>3.0000000000072191E-3</v>
      </c>
      <c r="Q275" s="187"/>
      <c r="R275" s="128">
        <v>0.93</v>
      </c>
      <c r="S275" s="128">
        <v>0.91</v>
      </c>
      <c r="T275" s="169">
        <v>47</v>
      </c>
      <c r="U275" s="169">
        <v>83</v>
      </c>
      <c r="V275" s="169">
        <v>2</v>
      </c>
      <c r="W275" s="169">
        <v>45</v>
      </c>
      <c r="X275" s="169">
        <f>T275-W275</f>
        <v>2</v>
      </c>
    </row>
    <row r="276" spans="1:24" ht="16.149999999999999" customHeight="1" x14ac:dyDescent="0.2">
      <c r="A276" s="173" t="s">
        <v>866</v>
      </c>
      <c r="B276" s="171" t="s">
        <v>867</v>
      </c>
      <c r="C276" s="171" t="s">
        <v>203</v>
      </c>
      <c r="D276" s="165" t="s">
        <v>203</v>
      </c>
      <c r="E276" s="165" t="s">
        <v>203</v>
      </c>
      <c r="F276" s="165" t="s">
        <v>203</v>
      </c>
      <c r="G276" s="167">
        <v>838.27</v>
      </c>
      <c r="H276" s="167">
        <v>0</v>
      </c>
      <c r="I276" s="167">
        <f t="shared" si="49"/>
        <v>838.27</v>
      </c>
      <c r="J276" s="167">
        <v>838.27</v>
      </c>
      <c r="K276" s="167">
        <v>0</v>
      </c>
      <c r="L276" s="167">
        <f t="shared" si="50"/>
        <v>838.27</v>
      </c>
      <c r="M276" s="127">
        <f t="shared" si="51"/>
        <v>0</v>
      </c>
      <c r="N276" s="167">
        <f t="shared" si="52"/>
        <v>0</v>
      </c>
      <c r="O276" s="167">
        <f t="shared" si="53"/>
        <v>0</v>
      </c>
      <c r="P276" s="184" t="s">
        <v>203</v>
      </c>
      <c r="Q276" s="187"/>
      <c r="R276" s="128">
        <v>1</v>
      </c>
      <c r="S276" s="128">
        <v>1</v>
      </c>
      <c r="T276" s="169">
        <f>85-1</f>
        <v>84</v>
      </c>
      <c r="U276" s="169">
        <f>85-1</f>
        <v>84</v>
      </c>
      <c r="V276" s="169">
        <v>0</v>
      </c>
      <c r="W276" s="169">
        <v>84</v>
      </c>
      <c r="X276" s="169">
        <f t="shared" ref="X276:X339" si="54">T276-W276</f>
        <v>0</v>
      </c>
    </row>
    <row r="277" spans="1:24" ht="16.149999999999999" customHeight="1" x14ac:dyDescent="0.2">
      <c r="A277" s="173" t="s">
        <v>868</v>
      </c>
      <c r="B277" s="171">
        <v>39855</v>
      </c>
      <c r="C277" s="171">
        <v>40076</v>
      </c>
      <c r="D277" s="165"/>
      <c r="E277" s="165"/>
      <c r="F277" s="165"/>
      <c r="G277" s="167">
        <v>0</v>
      </c>
      <c r="H277" s="167">
        <f>1990.83-0.23</f>
        <v>1990.6</v>
      </c>
      <c r="I277" s="167">
        <f t="shared" si="49"/>
        <v>1990.6</v>
      </c>
      <c r="J277" s="167">
        <v>0</v>
      </c>
      <c r="K277" s="167">
        <f>37.95+924.6+591+380.43+37.89+18.73</f>
        <v>1990.6000000000004</v>
      </c>
      <c r="L277" s="167">
        <f t="shared" si="50"/>
        <v>1990.6000000000004</v>
      </c>
      <c r="M277" s="127">
        <f t="shared" si="51"/>
        <v>0</v>
      </c>
      <c r="N277" s="167">
        <f t="shared" si="52"/>
        <v>0</v>
      </c>
      <c r="O277" s="167">
        <f t="shared" si="53"/>
        <v>0</v>
      </c>
      <c r="P277" s="178">
        <v>0</v>
      </c>
      <c r="Q277" s="187"/>
      <c r="R277" s="128">
        <v>1</v>
      </c>
      <c r="S277" s="128">
        <v>1</v>
      </c>
      <c r="T277" s="169">
        <v>0</v>
      </c>
      <c r="U277" s="181">
        <v>2500</v>
      </c>
      <c r="V277" s="169">
        <v>0</v>
      </c>
      <c r="W277" s="169">
        <v>0</v>
      </c>
      <c r="X277" s="169">
        <f t="shared" si="54"/>
        <v>0</v>
      </c>
    </row>
    <row r="278" spans="1:24" ht="16.149999999999999" customHeight="1" x14ac:dyDescent="0.2">
      <c r="A278" s="173" t="s">
        <v>869</v>
      </c>
      <c r="B278" s="171" t="s">
        <v>870</v>
      </c>
      <c r="C278" s="171" t="s">
        <v>203</v>
      </c>
      <c r="D278" s="165" t="s">
        <v>203</v>
      </c>
      <c r="E278" s="165" t="s">
        <v>203</v>
      </c>
      <c r="F278" s="165" t="s">
        <v>203</v>
      </c>
      <c r="G278" s="167">
        <v>836.79</v>
      </c>
      <c r="H278" s="167">
        <v>0</v>
      </c>
      <c r="I278" s="167">
        <f t="shared" si="49"/>
        <v>836.79</v>
      </c>
      <c r="J278" s="167">
        <v>836.79</v>
      </c>
      <c r="K278" s="167">
        <v>0</v>
      </c>
      <c r="L278" s="167">
        <f t="shared" si="50"/>
        <v>836.79</v>
      </c>
      <c r="M278" s="127">
        <f t="shared" si="51"/>
        <v>0</v>
      </c>
      <c r="N278" s="167">
        <f t="shared" si="52"/>
        <v>0</v>
      </c>
      <c r="O278" s="167">
        <f t="shared" si="53"/>
        <v>0</v>
      </c>
      <c r="P278" s="184" t="s">
        <v>203</v>
      </c>
      <c r="Q278" s="187"/>
      <c r="R278" s="128">
        <v>1</v>
      </c>
      <c r="S278" s="128">
        <v>1</v>
      </c>
      <c r="T278" s="169">
        <v>76</v>
      </c>
      <c r="U278" s="169">
        <v>76</v>
      </c>
      <c r="V278" s="169">
        <v>0</v>
      </c>
      <c r="W278" s="169">
        <v>76</v>
      </c>
      <c r="X278" s="169">
        <f t="shared" si="54"/>
        <v>0</v>
      </c>
    </row>
    <row r="279" spans="1:24" ht="16.149999999999999" customHeight="1" x14ac:dyDescent="0.2">
      <c r="A279" s="173" t="s">
        <v>871</v>
      </c>
      <c r="B279" s="171">
        <v>39692</v>
      </c>
      <c r="C279" s="171" t="s">
        <v>203</v>
      </c>
      <c r="D279" s="165" t="s">
        <v>203</v>
      </c>
      <c r="E279" s="165" t="s">
        <v>203</v>
      </c>
      <c r="F279" s="165" t="s">
        <v>203</v>
      </c>
      <c r="G279" s="167">
        <v>405.66</v>
      </c>
      <c r="H279" s="167">
        <v>0</v>
      </c>
      <c r="I279" s="167">
        <f t="shared" si="49"/>
        <v>405.66</v>
      </c>
      <c r="J279" s="167">
        <v>405.66</v>
      </c>
      <c r="K279" s="167">
        <v>0</v>
      </c>
      <c r="L279" s="167">
        <f t="shared" si="50"/>
        <v>405.66</v>
      </c>
      <c r="M279" s="127">
        <f t="shared" si="51"/>
        <v>0</v>
      </c>
      <c r="N279" s="167">
        <f t="shared" si="52"/>
        <v>0</v>
      </c>
      <c r="O279" s="167">
        <f t="shared" si="53"/>
        <v>0</v>
      </c>
      <c r="P279" s="184" t="s">
        <v>203</v>
      </c>
      <c r="Q279" s="187"/>
      <c r="R279" s="128">
        <v>1</v>
      </c>
      <c r="S279" s="128">
        <v>1</v>
      </c>
      <c r="T279" s="169">
        <v>42</v>
      </c>
      <c r="U279" s="169">
        <v>42</v>
      </c>
      <c r="V279" s="169">
        <v>0</v>
      </c>
      <c r="W279" s="169">
        <v>42</v>
      </c>
      <c r="X279" s="169">
        <f t="shared" si="54"/>
        <v>0</v>
      </c>
    </row>
    <row r="280" spans="1:24" ht="16.149999999999999" customHeight="1" x14ac:dyDescent="0.2">
      <c r="A280" s="173" t="s">
        <v>57</v>
      </c>
      <c r="B280" s="171" t="s">
        <v>292</v>
      </c>
      <c r="C280" s="171" t="s">
        <v>226</v>
      </c>
      <c r="D280" s="165"/>
      <c r="E280" s="165"/>
      <c r="F280" s="165"/>
      <c r="G280" s="167">
        <v>0</v>
      </c>
      <c r="H280" s="167">
        <f>4160.03+428.46+80.68+86.51-215.87</f>
        <v>4539.8100000000004</v>
      </c>
      <c r="I280" s="167">
        <f t="shared" si="49"/>
        <v>4539.8100000000004</v>
      </c>
      <c r="J280" s="167">
        <v>0</v>
      </c>
      <c r="K280" s="167">
        <f>59.28+1758+1721.3+83.77+614.92+80.68+96.73+102.06+23.07</f>
        <v>4539.8099999999995</v>
      </c>
      <c r="L280" s="167">
        <f t="shared" si="50"/>
        <v>4539.8099999999995</v>
      </c>
      <c r="M280" s="127">
        <f t="shared" si="51"/>
        <v>0</v>
      </c>
      <c r="N280" s="167">
        <f t="shared" si="52"/>
        <v>0</v>
      </c>
      <c r="O280" s="167">
        <f t="shared" si="53"/>
        <v>0</v>
      </c>
      <c r="P280" s="184" t="s">
        <v>203</v>
      </c>
      <c r="Q280" s="187"/>
      <c r="R280" s="128">
        <v>1</v>
      </c>
      <c r="S280" s="128">
        <v>1</v>
      </c>
      <c r="T280" s="169">
        <v>0</v>
      </c>
      <c r="U280" s="181">
        <v>4400</v>
      </c>
      <c r="V280" s="169">
        <v>0</v>
      </c>
      <c r="W280" s="169">
        <v>0</v>
      </c>
      <c r="X280" s="169">
        <f t="shared" si="54"/>
        <v>0</v>
      </c>
    </row>
    <row r="281" spans="1:24" ht="16.149999999999999" customHeight="1" x14ac:dyDescent="0.2">
      <c r="A281" s="173" t="s">
        <v>227</v>
      </c>
      <c r="B281" s="171" t="s">
        <v>338</v>
      </c>
      <c r="C281" s="171">
        <v>41295</v>
      </c>
      <c r="D281" s="165"/>
      <c r="E281" s="165"/>
      <c r="F281" s="165"/>
      <c r="G281" s="167">
        <v>0</v>
      </c>
      <c r="H281" s="167">
        <f>455.74+22.44-10.24</f>
        <v>467.94</v>
      </c>
      <c r="I281" s="167">
        <f t="shared" si="49"/>
        <v>467.94</v>
      </c>
      <c r="J281" s="167">
        <v>0</v>
      </c>
      <c r="K281" s="167">
        <f>56.78+13.21+208.17+128.84+4.62+19.27+14.39+8.45+2.71+0.34+3.86+7.3</f>
        <v>467.93999999999994</v>
      </c>
      <c r="L281" s="167">
        <f t="shared" si="50"/>
        <v>467.93999999999994</v>
      </c>
      <c r="M281" s="127">
        <f t="shared" si="51"/>
        <v>0</v>
      </c>
      <c r="N281" s="167">
        <f t="shared" si="52"/>
        <v>0</v>
      </c>
      <c r="O281" s="167">
        <f t="shared" si="53"/>
        <v>0</v>
      </c>
      <c r="P281" s="184" t="s">
        <v>203</v>
      </c>
      <c r="Q281" s="187"/>
      <c r="R281" s="128">
        <v>1</v>
      </c>
      <c r="S281" s="128">
        <v>0</v>
      </c>
      <c r="T281" s="169">
        <v>0</v>
      </c>
      <c r="U281" s="181" t="s">
        <v>228</v>
      </c>
      <c r="V281" s="169">
        <v>0</v>
      </c>
      <c r="W281" s="169">
        <v>0</v>
      </c>
      <c r="X281" s="169">
        <f t="shared" si="54"/>
        <v>0</v>
      </c>
    </row>
    <row r="282" spans="1:24" ht="16.149999999999999" customHeight="1" x14ac:dyDescent="0.2">
      <c r="A282" s="173" t="s">
        <v>872</v>
      </c>
      <c r="B282" s="171" t="s">
        <v>873</v>
      </c>
      <c r="C282" s="171">
        <v>40448</v>
      </c>
      <c r="D282" s="165"/>
      <c r="E282" s="165"/>
      <c r="F282" s="165" t="s">
        <v>203</v>
      </c>
      <c r="G282" s="167">
        <v>0</v>
      </c>
      <c r="H282" s="167">
        <f>1928.66+200.53+77.09-135.05</f>
        <v>2071.23</v>
      </c>
      <c r="I282" s="167">
        <f t="shared" si="49"/>
        <v>2071.23</v>
      </c>
      <c r="J282" s="167">
        <v>0</v>
      </c>
      <c r="K282" s="167">
        <f>33.21+36.63+839.79+805.4+34+190.98+77.09+21.44+5.85+0.41-3.06+29.49</f>
        <v>2071.23</v>
      </c>
      <c r="L282" s="167">
        <f t="shared" si="50"/>
        <v>2071.23</v>
      </c>
      <c r="M282" s="127">
        <f t="shared" si="51"/>
        <v>0</v>
      </c>
      <c r="N282" s="167">
        <f t="shared" si="52"/>
        <v>0</v>
      </c>
      <c r="O282" s="167">
        <f t="shared" si="53"/>
        <v>0</v>
      </c>
      <c r="P282" s="184" t="s">
        <v>203</v>
      </c>
      <c r="Q282" s="187"/>
      <c r="R282" s="128">
        <v>0.99</v>
      </c>
      <c r="S282" s="128">
        <v>1</v>
      </c>
      <c r="T282" s="169">
        <v>0</v>
      </c>
      <c r="U282" s="169">
        <v>750</v>
      </c>
      <c r="V282" s="169">
        <v>0</v>
      </c>
      <c r="W282" s="169">
        <v>0</v>
      </c>
      <c r="X282" s="169">
        <f t="shared" si="54"/>
        <v>0</v>
      </c>
    </row>
    <row r="283" spans="1:24" ht="16.149999999999999" customHeight="1" x14ac:dyDescent="0.2">
      <c r="A283" s="173" t="s">
        <v>10</v>
      </c>
      <c r="B283" s="171" t="s">
        <v>874</v>
      </c>
      <c r="C283" s="198">
        <v>40231</v>
      </c>
      <c r="D283" s="165">
        <v>40108</v>
      </c>
      <c r="E283" s="165" t="s">
        <v>203</v>
      </c>
      <c r="F283" s="165" t="s">
        <v>875</v>
      </c>
      <c r="G283" s="167">
        <f>1693.02-118.1+14.4+6.19+15.6+1.34+53.32+13.49+1.21</f>
        <v>1680.47</v>
      </c>
      <c r="H283" s="167">
        <v>0</v>
      </c>
      <c r="I283" s="167">
        <f t="shared" si="49"/>
        <v>1680.47</v>
      </c>
      <c r="J283" s="167">
        <f>90.58+29.55+60.86+9.58+56.75+45.96+102.28+120.44+116.5+96.76+41.43+108.48+40.47+50.32+77.14+69.89+388.1+15.78+50.23+9.79+2.17+1.08+1.02+1.02+1.08+3+1.43+0.83+5.19+0.698+0.81+0.88+0.88+0.82+0.72+25.9+1.58+2.37+0.79+0.79+1.36+0.94+3.81+0.94+0.94+0.94+1.88+0.94+0.94+0.83+0.83+3.21+0.83+0.83</f>
        <v>1653.1680000000001</v>
      </c>
      <c r="K283" s="167">
        <v>0</v>
      </c>
      <c r="L283" s="167">
        <f t="shared" si="50"/>
        <v>1653.1680000000001</v>
      </c>
      <c r="M283" s="127">
        <f t="shared" si="51"/>
        <v>27.301999999999907</v>
      </c>
      <c r="N283" s="167">
        <f t="shared" si="52"/>
        <v>0</v>
      </c>
      <c r="O283" s="167">
        <f t="shared" si="53"/>
        <v>27.301999999999907</v>
      </c>
      <c r="P283" s="167">
        <f>632.53+96.76+41.4+108.48+40.47+50.32+77.14+69.89+388.1+15.78+50.23-466.7-245.02-256.69-233.35-146.05-93.3-11.67-11.67-35-11.67-6.19-11.67+9.79+2.17+1.08+1.02+1.02+1.08+3-6.19+1.43+0.83+5.19+0.698+0.81+0.88+0.88+0.82+0.72+25.9+1.58+2.37+0.79+0.79+1.36+0.94+3.81+0.94+0.94+0.94+1.88+0.94+0.94+0.83+0.83+3.21+0.83+0.83</f>
        <v>117.99799999999998</v>
      </c>
      <c r="Q283" s="187"/>
      <c r="R283" s="128">
        <v>1</v>
      </c>
      <c r="S283" s="128">
        <v>1</v>
      </c>
      <c r="T283" s="169">
        <f>138-2</f>
        <v>136</v>
      </c>
      <c r="U283" s="169">
        <f>138-2</f>
        <v>136</v>
      </c>
      <c r="V283" s="169">
        <v>0</v>
      </c>
      <c r="W283" s="169">
        <v>133</v>
      </c>
      <c r="X283" s="169">
        <f t="shared" si="54"/>
        <v>3</v>
      </c>
    </row>
    <row r="284" spans="1:24" ht="16.149999999999999" customHeight="1" x14ac:dyDescent="0.2">
      <c r="A284" s="173" t="s">
        <v>11</v>
      </c>
      <c r="B284" s="171" t="s">
        <v>1289</v>
      </c>
      <c r="C284" s="171">
        <v>40351</v>
      </c>
      <c r="D284" s="165" t="s">
        <v>374</v>
      </c>
      <c r="E284" s="165" t="s">
        <v>203</v>
      </c>
      <c r="F284" s="165" t="s">
        <v>1290</v>
      </c>
      <c r="G284" s="167">
        <v>0</v>
      </c>
      <c r="H284" s="167">
        <f>1196.04+261.39+100.79-4.73+15.53</f>
        <v>1569.0199999999998</v>
      </c>
      <c r="I284" s="167">
        <f t="shared" si="49"/>
        <v>1569.0199999999998</v>
      </c>
      <c r="J284" s="167">
        <v>0</v>
      </c>
      <c r="K284" s="167">
        <f>31.2+35.98+562.91+14.08+9.94+20.67+31.17+46.34+30.85+10.32+73.95+71.65+2.36+71.54+51.49+37.89+2.79+33.78+82.93+23.81+1.01+39.39+14.02+20+10.92+4.83</f>
        <v>1335.8200000000002</v>
      </c>
      <c r="L284" s="167">
        <f t="shared" si="50"/>
        <v>1335.8200000000002</v>
      </c>
      <c r="M284" s="127">
        <f t="shared" si="51"/>
        <v>0</v>
      </c>
      <c r="N284" s="167">
        <f t="shared" si="52"/>
        <v>233.19999999999959</v>
      </c>
      <c r="O284" s="167">
        <f t="shared" si="53"/>
        <v>233.19999999999959</v>
      </c>
      <c r="P284" s="178" t="s">
        <v>203</v>
      </c>
      <c r="Q284" s="187"/>
      <c r="R284" s="128">
        <v>0.83</v>
      </c>
      <c r="S284" s="128">
        <v>1</v>
      </c>
      <c r="T284" s="169">
        <v>0</v>
      </c>
      <c r="U284" s="169">
        <v>205</v>
      </c>
      <c r="V284" s="169">
        <v>0</v>
      </c>
      <c r="W284" s="169">
        <v>0</v>
      </c>
      <c r="X284" s="169">
        <f t="shared" si="54"/>
        <v>0</v>
      </c>
    </row>
    <row r="285" spans="1:24" ht="16.149999999999999" customHeight="1" x14ac:dyDescent="0.2">
      <c r="A285" s="170" t="s">
        <v>876</v>
      </c>
      <c r="B285" s="180" t="s">
        <v>1291</v>
      </c>
      <c r="C285" s="169"/>
      <c r="D285" s="165"/>
      <c r="E285" s="165"/>
      <c r="F285" s="165"/>
      <c r="G285" s="167">
        <v>0</v>
      </c>
      <c r="H285" s="167">
        <f>1962.32+52.13+32.92+13.58</f>
        <v>2060.9500000000003</v>
      </c>
      <c r="I285" s="167">
        <f t="shared" si="49"/>
        <v>2060.9500000000003</v>
      </c>
      <c r="J285" s="167">
        <v>0</v>
      </c>
      <c r="K285" s="167">
        <f>25.23+12.15+32.91+13.58</f>
        <v>83.86999999999999</v>
      </c>
      <c r="L285" s="167">
        <f t="shared" si="50"/>
        <v>83.86999999999999</v>
      </c>
      <c r="M285" s="127">
        <f t="shared" si="51"/>
        <v>0</v>
      </c>
      <c r="N285" s="167">
        <f t="shared" si="52"/>
        <v>1977.0800000000004</v>
      </c>
      <c r="O285" s="167">
        <f t="shared" si="53"/>
        <v>1977.0800000000004</v>
      </c>
      <c r="P285" s="178" t="s">
        <v>203</v>
      </c>
      <c r="Q285" s="187"/>
      <c r="R285" s="128">
        <v>0</v>
      </c>
      <c r="S285" s="128">
        <v>1</v>
      </c>
      <c r="T285" s="169">
        <v>0</v>
      </c>
      <c r="U285" s="181">
        <v>5000</v>
      </c>
      <c r="V285" s="169">
        <v>0</v>
      </c>
      <c r="W285" s="169">
        <v>0</v>
      </c>
      <c r="X285" s="169">
        <f t="shared" si="54"/>
        <v>0</v>
      </c>
    </row>
    <row r="286" spans="1:24" ht="16.149999999999999" customHeight="1" x14ac:dyDescent="0.2">
      <c r="A286" s="173" t="s">
        <v>877</v>
      </c>
      <c r="B286" s="177" t="s">
        <v>878</v>
      </c>
      <c r="C286" s="171" t="s">
        <v>203</v>
      </c>
      <c r="D286" s="165" t="s">
        <v>203</v>
      </c>
      <c r="E286" s="165" t="s">
        <v>203</v>
      </c>
      <c r="F286" s="165" t="s">
        <v>203</v>
      </c>
      <c r="G286" s="167">
        <f>189.14+21.59+604.6+436.61+33.1+11.06+10.79</f>
        <v>1306.8899999999999</v>
      </c>
      <c r="H286" s="167">
        <v>0</v>
      </c>
      <c r="I286" s="167">
        <f t="shared" si="49"/>
        <v>1306.8899999999999</v>
      </c>
      <c r="J286" s="167">
        <v>1306.8900000000001</v>
      </c>
      <c r="K286" s="167">
        <v>0</v>
      </c>
      <c r="L286" s="167">
        <f t="shared" si="50"/>
        <v>1306.8900000000001</v>
      </c>
      <c r="M286" s="127">
        <f t="shared" si="51"/>
        <v>0</v>
      </c>
      <c r="N286" s="167">
        <f t="shared" si="52"/>
        <v>0</v>
      </c>
      <c r="O286" s="167">
        <f t="shared" si="53"/>
        <v>0</v>
      </c>
      <c r="P286" s="178">
        <v>0</v>
      </c>
      <c r="Q286" s="187"/>
      <c r="R286" s="128">
        <v>1</v>
      </c>
      <c r="S286" s="128">
        <v>1</v>
      </c>
      <c r="T286" s="169">
        <f>17+2+56+40+3+1+1</f>
        <v>120</v>
      </c>
      <c r="U286" s="169">
        <f>17+2+56+40+3+1+1</f>
        <v>120</v>
      </c>
      <c r="V286" s="169">
        <v>0</v>
      </c>
      <c r="W286" s="169">
        <v>120</v>
      </c>
      <c r="X286" s="169">
        <f t="shared" si="54"/>
        <v>0</v>
      </c>
    </row>
    <row r="287" spans="1:24" ht="16.149999999999999" customHeight="1" x14ac:dyDescent="0.2">
      <c r="A287" s="173" t="s">
        <v>363</v>
      </c>
      <c r="B287" s="171" t="s">
        <v>364</v>
      </c>
      <c r="C287" s="171">
        <v>41109</v>
      </c>
      <c r="D287" s="165"/>
      <c r="E287" s="165"/>
      <c r="F287" s="165" t="s">
        <v>365</v>
      </c>
      <c r="G287" s="167">
        <v>0</v>
      </c>
      <c r="H287" s="167">
        <f>2095.18+273.34+82.64</f>
        <v>2451.16</v>
      </c>
      <c r="I287" s="167">
        <f t="shared" si="49"/>
        <v>2451.16</v>
      </c>
      <c r="J287" s="167">
        <v>0</v>
      </c>
      <c r="K287" s="167">
        <f>39.91+45.55+45.08+1070.9+574.69+534.89+17.93+98.39</f>
        <v>2427.3399999999997</v>
      </c>
      <c r="L287" s="167">
        <f t="shared" si="50"/>
        <v>2427.3399999999997</v>
      </c>
      <c r="M287" s="127">
        <f t="shared" si="51"/>
        <v>0</v>
      </c>
      <c r="N287" s="167">
        <f t="shared" si="52"/>
        <v>23.820000000000164</v>
      </c>
      <c r="O287" s="167">
        <f t="shared" si="53"/>
        <v>23.820000000000164</v>
      </c>
      <c r="P287" s="178" t="s">
        <v>203</v>
      </c>
      <c r="Q287" s="187"/>
      <c r="R287" s="128">
        <v>1</v>
      </c>
      <c r="S287" s="128">
        <v>1</v>
      </c>
      <c r="T287" s="169">
        <v>0</v>
      </c>
      <c r="U287" s="169">
        <v>510</v>
      </c>
      <c r="V287" s="169">
        <v>0</v>
      </c>
      <c r="W287" s="169">
        <v>0</v>
      </c>
      <c r="X287" s="169">
        <f t="shared" si="54"/>
        <v>0</v>
      </c>
    </row>
    <row r="288" spans="1:24" ht="16.149999999999999" customHeight="1" x14ac:dyDescent="0.2">
      <c r="A288" s="173" t="s">
        <v>350</v>
      </c>
      <c r="B288" s="171" t="s">
        <v>879</v>
      </c>
      <c r="C288" s="171" t="s">
        <v>203</v>
      </c>
      <c r="D288" s="165" t="s">
        <v>549</v>
      </c>
      <c r="E288" s="165" t="s">
        <v>550</v>
      </c>
      <c r="F288" s="165" t="s">
        <v>551</v>
      </c>
      <c r="G288" s="167">
        <v>0</v>
      </c>
      <c r="H288" s="167">
        <f>949.74+301.52+27.3+18.42+29.96+14.62-16.68</f>
        <v>1324.8799999999999</v>
      </c>
      <c r="I288" s="167">
        <f t="shared" si="49"/>
        <v>1324.8799999999999</v>
      </c>
      <c r="J288" s="167">
        <v>0</v>
      </c>
      <c r="K288" s="167">
        <f>18.99+25.42+26.39+3.63+88.98+22.47+26.37+53.26+50.64+107.82+3.58+74.23+100.58+0.85+85.34+48.91+52.74+37.13+37.2+0.1+28.25+25.99+13.78+5.66+0.096+82.68+17.19+19.33+58.58+35.11+0.192+33.1+0.22+20.79+0.39+9.59+29.96+17.5+23.6+9.13+14.62+3.14+11.35</f>
        <v>1324.8779999999997</v>
      </c>
      <c r="L288" s="167">
        <f t="shared" si="50"/>
        <v>1324.8779999999997</v>
      </c>
      <c r="M288" s="127">
        <f t="shared" si="51"/>
        <v>0</v>
      </c>
      <c r="N288" s="167">
        <f t="shared" si="52"/>
        <v>2.00000000018008E-3</v>
      </c>
      <c r="O288" s="167">
        <f t="shared" si="53"/>
        <v>2.00000000018008E-3</v>
      </c>
      <c r="P288" s="178">
        <v>0</v>
      </c>
      <c r="Q288" s="187"/>
      <c r="R288" s="128">
        <v>0.77</v>
      </c>
      <c r="S288" s="128">
        <v>1</v>
      </c>
      <c r="T288" s="169">
        <v>0</v>
      </c>
      <c r="U288" s="169">
        <v>200</v>
      </c>
      <c r="V288" s="169">
        <v>0</v>
      </c>
      <c r="W288" s="169">
        <v>0</v>
      </c>
      <c r="X288" s="169">
        <f t="shared" si="54"/>
        <v>0</v>
      </c>
    </row>
    <row r="289" spans="1:24" ht="16.149999999999999" customHeight="1" x14ac:dyDescent="0.2">
      <c r="A289" s="173" t="s">
        <v>293</v>
      </c>
      <c r="B289" s="171" t="s">
        <v>294</v>
      </c>
      <c r="C289" s="171">
        <v>40417</v>
      </c>
      <c r="D289" s="165"/>
      <c r="E289" s="165"/>
      <c r="F289" s="165"/>
      <c r="G289" s="167">
        <v>0</v>
      </c>
      <c r="H289" s="167">
        <f>1839.46+35.47-186.31</f>
        <v>1688.6200000000001</v>
      </c>
      <c r="I289" s="167">
        <f t="shared" si="49"/>
        <v>1688.6200000000001</v>
      </c>
      <c r="J289" s="167">
        <v>0</v>
      </c>
      <c r="K289" s="167">
        <f>28.93+24.77+785.15+752.78+37.42+35.48+7.82+16.27</f>
        <v>1688.6200000000001</v>
      </c>
      <c r="L289" s="167">
        <f t="shared" si="50"/>
        <v>1688.6200000000001</v>
      </c>
      <c r="M289" s="127">
        <f t="shared" si="51"/>
        <v>0</v>
      </c>
      <c r="N289" s="167">
        <f t="shared" si="52"/>
        <v>0</v>
      </c>
      <c r="O289" s="167">
        <f t="shared" si="53"/>
        <v>0</v>
      </c>
      <c r="P289" s="178">
        <v>0</v>
      </c>
      <c r="Q289" s="187"/>
      <c r="R289" s="128">
        <v>1</v>
      </c>
      <c r="S289" s="128">
        <v>0</v>
      </c>
      <c r="T289" s="169">
        <v>0</v>
      </c>
      <c r="U289" s="169">
        <v>230</v>
      </c>
      <c r="V289" s="169">
        <v>0</v>
      </c>
      <c r="W289" s="169">
        <v>0</v>
      </c>
      <c r="X289" s="169">
        <f t="shared" si="54"/>
        <v>0</v>
      </c>
    </row>
    <row r="290" spans="1:24" ht="16.149999999999999" customHeight="1" x14ac:dyDescent="0.2">
      <c r="A290" s="186" t="s">
        <v>296</v>
      </c>
      <c r="B290" s="171" t="s">
        <v>394</v>
      </c>
      <c r="C290" s="171"/>
      <c r="D290" s="165"/>
      <c r="E290" s="165"/>
      <c r="F290" s="165" t="s">
        <v>203</v>
      </c>
      <c r="G290" s="167">
        <v>0</v>
      </c>
      <c r="H290" s="167">
        <f>89.31+72.72+34.87+4.74-0.34</f>
        <v>201.3</v>
      </c>
      <c r="I290" s="167">
        <f t="shared" si="49"/>
        <v>201.3</v>
      </c>
      <c r="J290" s="167">
        <v>0</v>
      </c>
      <c r="K290" s="167">
        <f>2.24+1.7+4.15+48.69970177+33.59844114+18.47723604+24.65+5.65+3.81+0.017+33.13+8.6+8.4+4.74+1.98+1.46</f>
        <v>201.30237895000002</v>
      </c>
      <c r="L290" s="167">
        <f t="shared" si="50"/>
        <v>201.30237895000002</v>
      </c>
      <c r="M290" s="127">
        <f t="shared" si="51"/>
        <v>0</v>
      </c>
      <c r="N290" s="167">
        <f t="shared" si="52"/>
        <v>-2.3789500000077624E-3</v>
      </c>
      <c r="O290" s="167">
        <f t="shared" si="53"/>
        <v>-2.3789500000077624E-3</v>
      </c>
      <c r="P290" s="178">
        <v>0</v>
      </c>
      <c r="Q290" s="187"/>
      <c r="R290" s="128">
        <v>1</v>
      </c>
      <c r="S290" s="128">
        <v>1</v>
      </c>
      <c r="T290" s="169">
        <v>0</v>
      </c>
      <c r="U290" s="169">
        <v>16</v>
      </c>
      <c r="V290" s="169">
        <v>0</v>
      </c>
      <c r="W290" s="169">
        <v>0</v>
      </c>
      <c r="X290" s="169">
        <f t="shared" si="54"/>
        <v>0</v>
      </c>
    </row>
    <row r="291" spans="1:24" ht="16.149999999999999" customHeight="1" x14ac:dyDescent="0.2">
      <c r="A291" s="186" t="s">
        <v>880</v>
      </c>
      <c r="B291" s="171" t="s">
        <v>881</v>
      </c>
      <c r="C291" s="171" t="s">
        <v>203</v>
      </c>
      <c r="D291" s="165" t="s">
        <v>203</v>
      </c>
      <c r="E291" s="165" t="s">
        <v>203</v>
      </c>
      <c r="F291" s="165" t="s">
        <v>203</v>
      </c>
      <c r="G291" s="167">
        <f>163.48+10.22+254.66+207.78+83.11+31.17+10.19+41.55+10.39+20.3+10.39</f>
        <v>843.2399999999999</v>
      </c>
      <c r="H291" s="167">
        <v>0</v>
      </c>
      <c r="I291" s="167">
        <f t="shared" si="49"/>
        <v>843.2399999999999</v>
      </c>
      <c r="J291" s="167">
        <f>163.48+10.22+254.66+207.78+83.11+31.17+10.19+41.55+10.39+20.3+10.39</f>
        <v>843.2399999999999</v>
      </c>
      <c r="K291" s="167">
        <v>0</v>
      </c>
      <c r="L291" s="167">
        <f t="shared" si="50"/>
        <v>843.2399999999999</v>
      </c>
      <c r="M291" s="127">
        <f t="shared" si="51"/>
        <v>0</v>
      </c>
      <c r="N291" s="167">
        <f t="shared" si="52"/>
        <v>0</v>
      </c>
      <c r="O291" s="167">
        <f t="shared" si="53"/>
        <v>0</v>
      </c>
      <c r="P291" s="178">
        <v>0</v>
      </c>
      <c r="Q291" s="187"/>
      <c r="R291" s="128">
        <v>1</v>
      </c>
      <c r="S291" s="128">
        <v>1</v>
      </c>
      <c r="T291" s="169">
        <f>16+1+25+20+8+3+1+4+1+2+1</f>
        <v>82</v>
      </c>
      <c r="U291" s="169">
        <f>16+1+25+20+8+3+1+4+1+2+1</f>
        <v>82</v>
      </c>
      <c r="V291" s="169">
        <v>0</v>
      </c>
      <c r="W291" s="169">
        <v>82</v>
      </c>
      <c r="X291" s="169">
        <f t="shared" si="54"/>
        <v>0</v>
      </c>
    </row>
    <row r="292" spans="1:24" ht="16.149999999999999" customHeight="1" x14ac:dyDescent="0.2">
      <c r="A292" s="186" t="s">
        <v>882</v>
      </c>
      <c r="B292" s="171">
        <v>39888</v>
      </c>
      <c r="C292" s="199">
        <v>40186</v>
      </c>
      <c r="D292" s="165"/>
      <c r="E292" s="165"/>
      <c r="F292" s="165"/>
      <c r="G292" s="167">
        <f>292.92-8</f>
        <v>284.92</v>
      </c>
      <c r="H292" s="167">
        <v>0</v>
      </c>
      <c r="I292" s="167">
        <f t="shared" si="49"/>
        <v>284.92</v>
      </c>
      <c r="J292" s="167">
        <f>111.6+111.6+61.72</f>
        <v>284.91999999999996</v>
      </c>
      <c r="K292" s="167">
        <v>0</v>
      </c>
      <c r="L292" s="167">
        <f t="shared" si="50"/>
        <v>284.91999999999996</v>
      </c>
      <c r="M292" s="127">
        <f t="shared" si="51"/>
        <v>0</v>
      </c>
      <c r="N292" s="167">
        <f t="shared" si="52"/>
        <v>0</v>
      </c>
      <c r="O292" s="167">
        <f t="shared" si="53"/>
        <v>0</v>
      </c>
      <c r="P292" s="167">
        <f>111.6+111.6+61.72-183.82-73.53-9.19-9.19-4.36-0.19-4.64</f>
        <v>-3.2862601528904634E-14</v>
      </c>
      <c r="Q292" s="187"/>
      <c r="R292" s="128">
        <v>1</v>
      </c>
      <c r="S292" s="128">
        <v>1</v>
      </c>
      <c r="T292" s="169">
        <v>31</v>
      </c>
      <c r="U292" s="169">
        <v>31</v>
      </c>
      <c r="V292" s="169">
        <v>0</v>
      </c>
      <c r="W292" s="169">
        <v>31</v>
      </c>
      <c r="X292" s="169">
        <f t="shared" si="54"/>
        <v>0</v>
      </c>
    </row>
    <row r="293" spans="1:24" ht="16.149999999999999" customHeight="1" x14ac:dyDescent="0.2">
      <c r="A293" s="186" t="s">
        <v>448</v>
      </c>
      <c r="B293" s="171" t="s">
        <v>1292</v>
      </c>
      <c r="C293" s="199">
        <v>40357</v>
      </c>
      <c r="D293" s="165"/>
      <c r="E293" s="165"/>
      <c r="F293" s="165" t="s">
        <v>1293</v>
      </c>
      <c r="G293" s="167">
        <f>2433.03+51.34+11.64+0.95+1.12+103.42</f>
        <v>2601.5</v>
      </c>
      <c r="H293" s="167">
        <v>0</v>
      </c>
      <c r="I293" s="167">
        <f t="shared" si="49"/>
        <v>2601.5</v>
      </c>
      <c r="J293" s="167">
        <f>905.26+905.26+37.97+217.27+51.34+1.61647243+0.93+0.96+22.52+6.97+3.6+0.92+1+0.525+1.61+3.94</f>
        <v>2161.6914724300004</v>
      </c>
      <c r="K293" s="167">
        <v>0</v>
      </c>
      <c r="L293" s="167">
        <f t="shared" si="50"/>
        <v>2161.6914724300004</v>
      </c>
      <c r="M293" s="127">
        <f t="shared" si="51"/>
        <v>439.80852756999957</v>
      </c>
      <c r="N293" s="167">
        <f t="shared" si="52"/>
        <v>0</v>
      </c>
      <c r="O293" s="167">
        <f t="shared" si="53"/>
        <v>439.80852756999957</v>
      </c>
      <c r="P293" s="178">
        <f>1810.52+37.97+217.27+51.34+1.61647243+0.93+0.96+22.52+6.97+3.6+0.92+1+0.525+1.61+3.94</f>
        <v>2161.6914724300004</v>
      </c>
      <c r="Q293" s="187"/>
      <c r="R293" s="128">
        <v>1</v>
      </c>
      <c r="S293" s="128">
        <v>0.79</v>
      </c>
      <c r="T293" s="169">
        <v>177</v>
      </c>
      <c r="U293" s="169">
        <v>235</v>
      </c>
      <c r="V293" s="169">
        <v>0</v>
      </c>
      <c r="W293" s="169">
        <v>0</v>
      </c>
      <c r="X293" s="169">
        <f t="shared" si="54"/>
        <v>177</v>
      </c>
    </row>
    <row r="294" spans="1:24" ht="16.149999999999999" customHeight="1" x14ac:dyDescent="0.2">
      <c r="A294" s="186" t="s">
        <v>883</v>
      </c>
      <c r="B294" s="171" t="s">
        <v>884</v>
      </c>
      <c r="C294" s="169" t="s">
        <v>203</v>
      </c>
      <c r="D294" s="165" t="s">
        <v>203</v>
      </c>
      <c r="E294" s="165" t="s">
        <v>203</v>
      </c>
      <c r="F294" s="165" t="s">
        <v>203</v>
      </c>
      <c r="G294" s="167">
        <v>1711.21</v>
      </c>
      <c r="H294" s="167">
        <v>0</v>
      </c>
      <c r="I294" s="167">
        <f t="shared" si="49"/>
        <v>1711.21</v>
      </c>
      <c r="J294" s="167">
        <f>667.98+567.94+132.14+178.76+24.05+47.09+11.74+34.54+11.74+11.74+23.49</f>
        <v>1711.2099999999998</v>
      </c>
      <c r="K294" s="167">
        <v>0</v>
      </c>
      <c r="L294" s="167">
        <f t="shared" si="50"/>
        <v>1711.2099999999998</v>
      </c>
      <c r="M294" s="127">
        <f t="shared" si="51"/>
        <v>0</v>
      </c>
      <c r="N294" s="167">
        <f t="shared" si="52"/>
        <v>0</v>
      </c>
      <c r="O294" s="167">
        <f t="shared" si="53"/>
        <v>0</v>
      </c>
      <c r="P294" s="178" t="s">
        <v>203</v>
      </c>
      <c r="Q294" s="187"/>
      <c r="R294" s="128">
        <v>1</v>
      </c>
      <c r="S294" s="128">
        <v>1</v>
      </c>
      <c r="T294" s="169">
        <v>144</v>
      </c>
      <c r="U294" s="169">
        <v>144</v>
      </c>
      <c r="V294" s="169">
        <v>0</v>
      </c>
      <c r="W294" s="169">
        <v>144</v>
      </c>
      <c r="X294" s="169">
        <f t="shared" si="54"/>
        <v>0</v>
      </c>
    </row>
    <row r="295" spans="1:24" ht="16.149999999999999" customHeight="1" x14ac:dyDescent="0.2">
      <c r="A295" s="186" t="s">
        <v>741</v>
      </c>
      <c r="B295" s="171" t="s">
        <v>885</v>
      </c>
      <c r="C295" s="169" t="s">
        <v>203</v>
      </c>
      <c r="D295" s="165" t="s">
        <v>203</v>
      </c>
      <c r="E295" s="165" t="s">
        <v>203</v>
      </c>
      <c r="F295" s="165" t="s">
        <v>203</v>
      </c>
      <c r="G295" s="167">
        <f>88.81+98.24+19.77+10.01+147.96+142.3+55.47+12.42+10.38-10.25</f>
        <v>575.11</v>
      </c>
      <c r="H295" s="167">
        <v>0</v>
      </c>
      <c r="I295" s="167">
        <f t="shared" si="49"/>
        <v>575.11</v>
      </c>
      <c r="J295" s="167">
        <f>364.79+132.06+55.47+12.42+10.37</f>
        <v>575.11</v>
      </c>
      <c r="K295" s="167">
        <v>0</v>
      </c>
      <c r="L295" s="167">
        <f t="shared" si="50"/>
        <v>575.11</v>
      </c>
      <c r="M295" s="127">
        <f t="shared" si="51"/>
        <v>0</v>
      </c>
      <c r="N295" s="167">
        <f t="shared" si="52"/>
        <v>0</v>
      </c>
      <c r="O295" s="167">
        <f t="shared" si="53"/>
        <v>0</v>
      </c>
      <c r="P295" s="178" t="s">
        <v>203</v>
      </c>
      <c r="Q295" s="187"/>
      <c r="R295" s="128">
        <v>1</v>
      </c>
      <c r="S295" s="128">
        <v>1</v>
      </c>
      <c r="T295" s="169">
        <f>9+10+2+1+13+13+5+1+1</f>
        <v>55</v>
      </c>
      <c r="U295" s="169">
        <f>9+10+2+1+13+13+5+1+1</f>
        <v>55</v>
      </c>
      <c r="V295" s="169">
        <v>1</v>
      </c>
      <c r="W295" s="169">
        <v>54</v>
      </c>
      <c r="X295" s="169">
        <f t="shared" si="54"/>
        <v>1</v>
      </c>
    </row>
    <row r="296" spans="1:24" ht="16.149999999999999" customHeight="1" x14ac:dyDescent="0.2">
      <c r="A296" s="173" t="s">
        <v>886</v>
      </c>
      <c r="B296" s="177" t="s">
        <v>887</v>
      </c>
      <c r="C296" s="169" t="s">
        <v>203</v>
      </c>
      <c r="D296" s="165" t="s">
        <v>203</v>
      </c>
      <c r="E296" s="165" t="s">
        <v>203</v>
      </c>
      <c r="F296" s="165" t="s">
        <v>203</v>
      </c>
      <c r="G296" s="167">
        <f>366.15+290.05+24.53+228.18+37.12+418.69+268.56+61.64+62.78+26.09+11.85</f>
        <v>1795.6399999999999</v>
      </c>
      <c r="H296" s="167">
        <v>0</v>
      </c>
      <c r="I296" s="167">
        <f t="shared" si="49"/>
        <v>1795.6399999999999</v>
      </c>
      <c r="J296" s="167">
        <v>1795.64</v>
      </c>
      <c r="K296" s="167">
        <v>0</v>
      </c>
      <c r="L296" s="167">
        <f t="shared" si="50"/>
        <v>1795.64</v>
      </c>
      <c r="M296" s="127">
        <f t="shared" si="51"/>
        <v>0</v>
      </c>
      <c r="N296" s="167">
        <f t="shared" si="52"/>
        <v>0</v>
      </c>
      <c r="O296" s="167">
        <f t="shared" si="53"/>
        <v>0</v>
      </c>
      <c r="P296" s="178" t="s">
        <v>203</v>
      </c>
      <c r="Q296" s="187"/>
      <c r="R296" s="128">
        <v>1</v>
      </c>
      <c r="S296" s="128">
        <v>1</v>
      </c>
      <c r="T296" s="169">
        <f>29+24+2+19+3+34+22+5+5+2+1</f>
        <v>146</v>
      </c>
      <c r="U296" s="169">
        <f>29+24+2+19+3+34+22+5+5+2+1</f>
        <v>146</v>
      </c>
      <c r="V296" s="169">
        <v>0</v>
      </c>
      <c r="W296" s="169">
        <v>146</v>
      </c>
      <c r="X296" s="169">
        <f t="shared" si="54"/>
        <v>0</v>
      </c>
    </row>
    <row r="297" spans="1:24" ht="16.149999999999999" customHeight="1" x14ac:dyDescent="0.2">
      <c r="A297" s="200" t="s">
        <v>295</v>
      </c>
      <c r="B297" s="171" t="s">
        <v>1294</v>
      </c>
      <c r="C297" s="171">
        <v>41046</v>
      </c>
      <c r="D297" s="165" t="s">
        <v>327</v>
      </c>
      <c r="E297" s="165" t="s">
        <v>1295</v>
      </c>
      <c r="F297" s="165" t="s">
        <v>1296</v>
      </c>
      <c r="G297" s="167">
        <f>4840.59+139.68+8.49+3.51+1.82+1.82+13.02+1.82+7.29</f>
        <v>5018.04</v>
      </c>
      <c r="H297" s="167">
        <v>0</v>
      </c>
      <c r="I297" s="167">
        <f t="shared" si="49"/>
        <v>5018.04</v>
      </c>
      <c r="J297" s="167">
        <f>4316.61+117.79+91.01+85.57+21.65+139.68+74.26+3.42+4.25+4.25+3.51+50.74+1.82+6.95+0.25+1.82+7.29+4.63+0.17+1.82</f>
        <v>4937.4899999999989</v>
      </c>
      <c r="K297" s="167">
        <v>0</v>
      </c>
      <c r="L297" s="167">
        <f t="shared" si="50"/>
        <v>4937.4899999999989</v>
      </c>
      <c r="M297" s="127">
        <f t="shared" si="51"/>
        <v>80.550000000001091</v>
      </c>
      <c r="N297" s="167">
        <f t="shared" si="52"/>
        <v>0</v>
      </c>
      <c r="O297" s="167">
        <f t="shared" si="53"/>
        <v>80.550000000001091</v>
      </c>
      <c r="P297" s="167">
        <f>4316.61+117.79+91.01+85.57+21.65+139.68+74.26+3.42+4.25+4.25+3.51+50.74+1.82+6.95+0.25+1.82+7.29+4.63+0.17-2136.58777454+1.82-15.25697668</f>
        <v>2785.6452487799993</v>
      </c>
      <c r="Q297" s="187"/>
      <c r="R297" s="128">
        <v>0.99</v>
      </c>
      <c r="S297" s="128">
        <v>1</v>
      </c>
      <c r="T297" s="174">
        <v>327</v>
      </c>
      <c r="U297" s="174">
        <v>327</v>
      </c>
      <c r="V297" s="174">
        <v>14</v>
      </c>
      <c r="W297" s="169">
        <v>140</v>
      </c>
      <c r="X297" s="169">
        <f t="shared" si="54"/>
        <v>187</v>
      </c>
    </row>
    <row r="298" spans="1:24" ht="16.149999999999999" customHeight="1" x14ac:dyDescent="0.2">
      <c r="A298" s="173" t="s">
        <v>888</v>
      </c>
      <c r="B298" s="171" t="s">
        <v>889</v>
      </c>
      <c r="C298" s="169" t="s">
        <v>203</v>
      </c>
      <c r="D298" s="165" t="s">
        <v>203</v>
      </c>
      <c r="E298" s="165" t="s">
        <v>203</v>
      </c>
      <c r="F298" s="165" t="s">
        <v>203</v>
      </c>
      <c r="G298" s="167">
        <f>245.53+10.56+11.71</f>
        <v>267.79999999999995</v>
      </c>
      <c r="H298" s="167">
        <v>0</v>
      </c>
      <c r="I298" s="167">
        <f t="shared" si="49"/>
        <v>267.79999999999995</v>
      </c>
      <c r="J298" s="167">
        <v>267.8</v>
      </c>
      <c r="K298" s="167">
        <v>0</v>
      </c>
      <c r="L298" s="167">
        <f t="shared" si="50"/>
        <v>267.8</v>
      </c>
      <c r="M298" s="127">
        <f t="shared" si="51"/>
        <v>0</v>
      </c>
      <c r="N298" s="167">
        <f t="shared" si="52"/>
        <v>0</v>
      </c>
      <c r="O298" s="167">
        <f t="shared" si="53"/>
        <v>0</v>
      </c>
      <c r="P298" s="178" t="s">
        <v>203</v>
      </c>
      <c r="Q298" s="187"/>
      <c r="R298" s="128">
        <v>1</v>
      </c>
      <c r="S298" s="128">
        <v>1</v>
      </c>
      <c r="T298" s="169">
        <f>22+1+1</f>
        <v>24</v>
      </c>
      <c r="U298" s="169">
        <f>22+1+1</f>
        <v>24</v>
      </c>
      <c r="V298" s="169">
        <v>0</v>
      </c>
      <c r="W298" s="169">
        <v>24</v>
      </c>
      <c r="X298" s="169">
        <f t="shared" si="54"/>
        <v>0</v>
      </c>
    </row>
    <row r="299" spans="1:24" ht="16.149999999999999" customHeight="1" x14ac:dyDescent="0.2">
      <c r="A299" s="173" t="s">
        <v>890</v>
      </c>
      <c r="B299" s="171" t="s">
        <v>891</v>
      </c>
      <c r="C299" s="169" t="s">
        <v>203</v>
      </c>
      <c r="D299" s="165" t="s">
        <v>203</v>
      </c>
      <c r="E299" s="165" t="s">
        <v>203</v>
      </c>
      <c r="F299" s="165" t="s">
        <v>203</v>
      </c>
      <c r="G299" s="167">
        <f>79.12+26.44</f>
        <v>105.56</v>
      </c>
      <c r="H299" s="167">
        <v>0</v>
      </c>
      <c r="I299" s="167">
        <f t="shared" si="49"/>
        <v>105.56</v>
      </c>
      <c r="J299" s="167">
        <v>105.56</v>
      </c>
      <c r="K299" s="167">
        <v>0</v>
      </c>
      <c r="L299" s="167">
        <f t="shared" si="50"/>
        <v>105.56</v>
      </c>
      <c r="M299" s="127">
        <f t="shared" si="51"/>
        <v>0</v>
      </c>
      <c r="N299" s="167">
        <f t="shared" si="52"/>
        <v>0</v>
      </c>
      <c r="O299" s="167">
        <f t="shared" si="53"/>
        <v>0</v>
      </c>
      <c r="P299" s="178" t="s">
        <v>203</v>
      </c>
      <c r="Q299" s="187"/>
      <c r="R299" s="128">
        <v>1</v>
      </c>
      <c r="S299" s="128">
        <v>1</v>
      </c>
      <c r="T299" s="169">
        <f>6+2</f>
        <v>8</v>
      </c>
      <c r="U299" s="169">
        <f>6+2</f>
        <v>8</v>
      </c>
      <c r="V299" s="169">
        <v>0</v>
      </c>
      <c r="W299" s="169">
        <v>8</v>
      </c>
      <c r="X299" s="169">
        <f t="shared" si="54"/>
        <v>0</v>
      </c>
    </row>
    <row r="300" spans="1:24" ht="16.149999999999999" customHeight="1" x14ac:dyDescent="0.2">
      <c r="A300" s="173" t="s">
        <v>892</v>
      </c>
      <c r="B300" s="171" t="s">
        <v>893</v>
      </c>
      <c r="C300" s="169" t="s">
        <v>203</v>
      </c>
      <c r="D300" s="165" t="s">
        <v>203</v>
      </c>
      <c r="E300" s="165" t="s">
        <v>203</v>
      </c>
      <c r="F300" s="165" t="s">
        <v>203</v>
      </c>
      <c r="G300" s="167">
        <f>799.49+12.64</f>
        <v>812.13</v>
      </c>
      <c r="H300" s="167">
        <v>0</v>
      </c>
      <c r="I300" s="167">
        <f t="shared" si="49"/>
        <v>812.13</v>
      </c>
      <c r="J300" s="167">
        <v>812.13</v>
      </c>
      <c r="K300" s="167">
        <v>0</v>
      </c>
      <c r="L300" s="167">
        <f t="shared" si="50"/>
        <v>812.13</v>
      </c>
      <c r="M300" s="127">
        <f t="shared" si="51"/>
        <v>0</v>
      </c>
      <c r="N300" s="167">
        <f t="shared" si="52"/>
        <v>0</v>
      </c>
      <c r="O300" s="167">
        <f t="shared" si="53"/>
        <v>0</v>
      </c>
      <c r="P300" s="178" t="s">
        <v>203</v>
      </c>
      <c r="Q300" s="187"/>
      <c r="R300" s="128">
        <v>1</v>
      </c>
      <c r="S300" s="128">
        <v>1</v>
      </c>
      <c r="T300" s="169">
        <f>61+1</f>
        <v>62</v>
      </c>
      <c r="U300" s="169">
        <f>61+1</f>
        <v>62</v>
      </c>
      <c r="V300" s="169">
        <v>0</v>
      </c>
      <c r="W300" s="169">
        <v>62</v>
      </c>
      <c r="X300" s="169">
        <f t="shared" si="54"/>
        <v>0</v>
      </c>
    </row>
    <row r="301" spans="1:24" ht="16.149999999999999" customHeight="1" x14ac:dyDescent="0.2">
      <c r="A301" s="173" t="s">
        <v>894</v>
      </c>
      <c r="B301" s="171">
        <v>40616</v>
      </c>
      <c r="C301" s="169" t="s">
        <v>203</v>
      </c>
      <c r="D301" s="165" t="s">
        <v>203</v>
      </c>
      <c r="E301" s="165" t="s">
        <v>203</v>
      </c>
      <c r="F301" s="165" t="s">
        <v>203</v>
      </c>
      <c r="G301" s="167">
        <v>528.64</v>
      </c>
      <c r="H301" s="167">
        <v>0</v>
      </c>
      <c r="I301" s="167">
        <f t="shared" si="49"/>
        <v>528.64</v>
      </c>
      <c r="J301" s="167">
        <v>528.64</v>
      </c>
      <c r="K301" s="167">
        <v>0</v>
      </c>
      <c r="L301" s="167">
        <f t="shared" si="50"/>
        <v>528.64</v>
      </c>
      <c r="M301" s="127">
        <f t="shared" si="51"/>
        <v>0</v>
      </c>
      <c r="N301" s="167">
        <f t="shared" si="52"/>
        <v>0</v>
      </c>
      <c r="O301" s="167">
        <f t="shared" si="53"/>
        <v>0</v>
      </c>
      <c r="P301" s="178" t="s">
        <v>203</v>
      </c>
      <c r="Q301" s="187"/>
      <c r="R301" s="128">
        <v>1</v>
      </c>
      <c r="S301" s="128">
        <v>1</v>
      </c>
      <c r="T301" s="169">
        <v>43</v>
      </c>
      <c r="U301" s="169">
        <v>43</v>
      </c>
      <c r="V301" s="169">
        <v>0</v>
      </c>
      <c r="W301" s="169">
        <v>43</v>
      </c>
      <c r="X301" s="169">
        <f t="shared" si="54"/>
        <v>0</v>
      </c>
    </row>
    <row r="302" spans="1:24" ht="16.149999999999999" customHeight="1" x14ac:dyDescent="0.2">
      <c r="A302" s="186" t="s">
        <v>895</v>
      </c>
      <c r="B302" s="171">
        <v>40616</v>
      </c>
      <c r="C302" s="169" t="s">
        <v>203</v>
      </c>
      <c r="D302" s="165" t="s">
        <v>203</v>
      </c>
      <c r="E302" s="165" t="s">
        <v>203</v>
      </c>
      <c r="F302" s="165" t="s">
        <v>203</v>
      </c>
      <c r="G302" s="167">
        <v>218.54</v>
      </c>
      <c r="H302" s="167">
        <v>0</v>
      </c>
      <c r="I302" s="167">
        <f t="shared" si="49"/>
        <v>218.54</v>
      </c>
      <c r="J302" s="167">
        <f>148.07+44.19+26.28</f>
        <v>218.54</v>
      </c>
      <c r="K302" s="167">
        <v>0</v>
      </c>
      <c r="L302" s="167">
        <f t="shared" si="50"/>
        <v>218.54</v>
      </c>
      <c r="M302" s="127">
        <f t="shared" si="51"/>
        <v>0</v>
      </c>
      <c r="N302" s="167">
        <f t="shared" si="52"/>
        <v>0</v>
      </c>
      <c r="O302" s="167">
        <f t="shared" si="53"/>
        <v>0</v>
      </c>
      <c r="P302" s="178" t="s">
        <v>203</v>
      </c>
      <c r="Q302" s="187"/>
      <c r="R302" s="128">
        <v>1</v>
      </c>
      <c r="S302" s="128">
        <v>1</v>
      </c>
      <c r="T302" s="169">
        <v>16</v>
      </c>
      <c r="U302" s="169">
        <v>16</v>
      </c>
      <c r="V302" s="169">
        <v>0</v>
      </c>
      <c r="W302" s="169">
        <v>16</v>
      </c>
      <c r="X302" s="169">
        <f t="shared" si="54"/>
        <v>0</v>
      </c>
    </row>
    <row r="303" spans="1:24" ht="16.149999999999999" customHeight="1" x14ac:dyDescent="0.2">
      <c r="A303" s="186" t="s">
        <v>229</v>
      </c>
      <c r="B303" s="171" t="s">
        <v>230</v>
      </c>
      <c r="C303" s="199">
        <v>41218</v>
      </c>
      <c r="D303" s="165"/>
      <c r="E303" s="165"/>
      <c r="F303" s="165"/>
      <c r="G303" s="167">
        <f>4446.44</f>
        <v>4446.4399999999996</v>
      </c>
      <c r="H303" s="167">
        <v>0</v>
      </c>
      <c r="I303" s="167">
        <f t="shared" si="49"/>
        <v>4446.4399999999996</v>
      </c>
      <c r="J303" s="167">
        <f>1450.45+300+456.93+7.57+283.77+229.66+128.2+121.14+138.29+117.54+99.23+55.25+9.42+558.94+1.25+283.07+63.38+8.01+3.84</f>
        <v>4315.9400000000005</v>
      </c>
      <c r="K303" s="167">
        <v>0</v>
      </c>
      <c r="L303" s="167">
        <f t="shared" si="50"/>
        <v>4315.9400000000005</v>
      </c>
      <c r="M303" s="127">
        <f t="shared" si="51"/>
        <v>130.49999999999909</v>
      </c>
      <c r="N303" s="167">
        <f t="shared" si="52"/>
        <v>0</v>
      </c>
      <c r="O303" s="167">
        <f t="shared" si="53"/>
        <v>130.49999999999909</v>
      </c>
      <c r="P303" s="167">
        <f>92.52+8.01-14.67+3.84-89.7</f>
        <v>0</v>
      </c>
      <c r="Q303" s="187"/>
      <c r="R303" s="128">
        <v>1</v>
      </c>
      <c r="S303" s="128">
        <v>1</v>
      </c>
      <c r="T303" s="169">
        <f>303-15</f>
        <v>288</v>
      </c>
      <c r="U303" s="169">
        <v>303</v>
      </c>
      <c r="V303" s="169">
        <v>0</v>
      </c>
      <c r="W303" s="169">
        <v>288</v>
      </c>
      <c r="X303" s="169">
        <f t="shared" si="54"/>
        <v>0</v>
      </c>
    </row>
    <row r="304" spans="1:24" ht="16.149999999999999" customHeight="1" x14ac:dyDescent="0.2">
      <c r="A304" s="186" t="s">
        <v>896</v>
      </c>
      <c r="B304" s="171" t="s">
        <v>897</v>
      </c>
      <c r="C304" s="169" t="s">
        <v>203</v>
      </c>
      <c r="D304" s="165" t="s">
        <v>203</v>
      </c>
      <c r="E304" s="165" t="s">
        <v>203</v>
      </c>
      <c r="F304" s="165" t="s">
        <v>203</v>
      </c>
      <c r="G304" s="167">
        <f>915.31+43.09+240.55+14.43</f>
        <v>1213.3800000000001</v>
      </c>
      <c r="H304" s="167">
        <v>0</v>
      </c>
      <c r="I304" s="167">
        <f t="shared" si="49"/>
        <v>1213.3800000000001</v>
      </c>
      <c r="J304" s="167">
        <v>1213.3800000000001</v>
      </c>
      <c r="K304" s="167">
        <v>0</v>
      </c>
      <c r="L304" s="167">
        <f t="shared" si="50"/>
        <v>1213.3800000000001</v>
      </c>
      <c r="M304" s="127">
        <f t="shared" si="51"/>
        <v>0</v>
      </c>
      <c r="N304" s="167">
        <f t="shared" si="52"/>
        <v>0</v>
      </c>
      <c r="O304" s="167">
        <f t="shared" si="53"/>
        <v>0</v>
      </c>
      <c r="P304" s="178" t="s">
        <v>203</v>
      </c>
      <c r="Q304" s="187"/>
      <c r="R304" s="128">
        <v>1</v>
      </c>
      <c r="S304" s="128">
        <v>1</v>
      </c>
      <c r="T304" s="169">
        <f>64+3+17+1</f>
        <v>85</v>
      </c>
      <c r="U304" s="169">
        <f>64+3+17+1</f>
        <v>85</v>
      </c>
      <c r="V304" s="169">
        <v>0</v>
      </c>
      <c r="W304" s="169">
        <v>85</v>
      </c>
      <c r="X304" s="169">
        <f t="shared" si="54"/>
        <v>0</v>
      </c>
    </row>
    <row r="305" spans="1:24" ht="16.149999999999999" customHeight="1" x14ac:dyDescent="0.2">
      <c r="A305" s="186" t="s">
        <v>898</v>
      </c>
      <c r="B305" s="171" t="s">
        <v>899</v>
      </c>
      <c r="C305" s="199">
        <v>41174</v>
      </c>
      <c r="D305" s="165"/>
      <c r="E305" s="165"/>
      <c r="F305" s="165"/>
      <c r="G305" s="167">
        <f>1448.57-123.84</f>
        <v>1324.73</v>
      </c>
      <c r="H305" s="167">
        <v>0</v>
      </c>
      <c r="I305" s="167">
        <f t="shared" si="49"/>
        <v>1324.73</v>
      </c>
      <c r="J305" s="167">
        <f>204+437.62+200+135.3+33.93+67.76+131.11+54.27+34.05+13.86+12.83</f>
        <v>1324.73</v>
      </c>
      <c r="K305" s="167">
        <v>0</v>
      </c>
      <c r="L305" s="167">
        <f t="shared" si="50"/>
        <v>1324.73</v>
      </c>
      <c r="M305" s="127">
        <f t="shared" si="51"/>
        <v>0</v>
      </c>
      <c r="N305" s="167">
        <f t="shared" si="52"/>
        <v>0</v>
      </c>
      <c r="O305" s="167">
        <f t="shared" si="53"/>
        <v>0</v>
      </c>
      <c r="P305" s="167">
        <f>204+437.62+200+135.3+33.93+67.76+131.11+54.27+34.05+13.86+12.83-1253.16-10.1-61.47</f>
        <v>-6.3948846218409017E-14</v>
      </c>
      <c r="Q305" s="187"/>
      <c r="R305" s="128">
        <v>1</v>
      </c>
      <c r="S305" s="128">
        <v>1</v>
      </c>
      <c r="T305" s="169">
        <v>86</v>
      </c>
      <c r="U305" s="169">
        <v>86</v>
      </c>
      <c r="V305" s="169">
        <v>0</v>
      </c>
      <c r="W305" s="169">
        <v>86</v>
      </c>
      <c r="X305" s="169">
        <f t="shared" si="54"/>
        <v>0</v>
      </c>
    </row>
    <row r="306" spans="1:24" ht="16.149999999999999" customHeight="1" x14ac:dyDescent="0.2">
      <c r="A306" s="186" t="s">
        <v>900</v>
      </c>
      <c r="B306" s="171" t="s">
        <v>639</v>
      </c>
      <c r="C306" s="169" t="s">
        <v>203</v>
      </c>
      <c r="D306" s="165" t="s">
        <v>203</v>
      </c>
      <c r="E306" s="165" t="s">
        <v>203</v>
      </c>
      <c r="F306" s="165" t="s">
        <v>203</v>
      </c>
      <c r="G306" s="167">
        <f>1276.06+55.03</f>
        <v>1331.09</v>
      </c>
      <c r="H306" s="167">
        <v>0</v>
      </c>
      <c r="I306" s="167">
        <f t="shared" ref="I306:I337" si="55">G306+H306</f>
        <v>1331.09</v>
      </c>
      <c r="J306" s="167">
        <f>1276.06+40.42+14.61</f>
        <v>1331.09</v>
      </c>
      <c r="K306" s="167">
        <v>0</v>
      </c>
      <c r="L306" s="167">
        <f t="shared" si="50"/>
        <v>1331.09</v>
      </c>
      <c r="M306" s="127">
        <f t="shared" ref="M306:M337" si="56">G306-J306</f>
        <v>0</v>
      </c>
      <c r="N306" s="167">
        <f t="shared" ref="N306:N337" si="57">H306-K306</f>
        <v>0</v>
      </c>
      <c r="O306" s="167">
        <f t="shared" ref="O306:O337" si="58">M306+N306</f>
        <v>0</v>
      </c>
      <c r="P306" s="178" t="s">
        <v>203</v>
      </c>
      <c r="Q306" s="187"/>
      <c r="R306" s="128">
        <v>1</v>
      </c>
      <c r="S306" s="128">
        <v>1</v>
      </c>
      <c r="T306" s="169">
        <f>95+4</f>
        <v>99</v>
      </c>
      <c r="U306" s="169">
        <f>95+4</f>
        <v>99</v>
      </c>
      <c r="V306" s="169">
        <v>0</v>
      </c>
      <c r="W306" s="169">
        <v>99</v>
      </c>
      <c r="X306" s="169">
        <f t="shared" si="54"/>
        <v>0</v>
      </c>
    </row>
    <row r="307" spans="1:24" s="207" customFormat="1" ht="16.149999999999999" customHeight="1" x14ac:dyDescent="0.15">
      <c r="A307" s="201" t="s">
        <v>401</v>
      </c>
      <c r="B307" s="202" t="s">
        <v>1297</v>
      </c>
      <c r="C307" s="203" t="s">
        <v>552</v>
      </c>
      <c r="D307" s="165" t="s">
        <v>901</v>
      </c>
      <c r="E307" s="165" t="s">
        <v>902</v>
      </c>
      <c r="F307" s="165" t="s">
        <v>1298</v>
      </c>
      <c r="G307" s="204">
        <f>3883.51-143.26+607.75+90.41+9.34+44.27+44.83+69.75+145.07+53.15+92.72+14.69+105.46+10.99+63.41+7.21+15.91+32.85+10.04730664</f>
        <v>5158.1073066399995</v>
      </c>
      <c r="H307" s="204">
        <f>1082.99-1018.19</f>
        <v>64.799999999999955</v>
      </c>
      <c r="I307" s="204">
        <f t="shared" si="55"/>
        <v>5222.9073066399997</v>
      </c>
      <c r="J307" s="204">
        <f>13.26+4.35+122.78+122.68+41.22+40.39+33.24+70.51+68.46+71.42+104.39+155.63+0.47+143.75+82.12+109.19+77.44+3.77+73.02+75.55+54.37+94.41+46.23+43.23+34+31.99+26.6+50.59+28.69+105.27+34.9+1.06+56.71+49.56+48.4+52.95+2.16+32.84+39.47+30.03+21.28+0.09+21.92+37.11+47.24+7.29+137.82+3.53+10.27+50.49+87.8+0.03+22.36+47.3+42.62+35.01+2.89+158.52+57.7+102.08+2.16+18.7+0.04+61.23+66.15+76.84+26.26+92.42+33.56+69.64+0.05+42.26+40.1+52.07+65.76+33.3+14.01+14.18+15.92+193.92</f>
        <v>4089.0200000000018</v>
      </c>
      <c r="K307" s="204">
        <f>20.63+21.05+3.83+19.29</f>
        <v>64.8</v>
      </c>
      <c r="L307" s="204">
        <f t="shared" si="50"/>
        <v>4153.8200000000015</v>
      </c>
      <c r="M307" s="131">
        <f t="shared" si="56"/>
        <v>1069.0873066399977</v>
      </c>
      <c r="N307" s="204">
        <f t="shared" si="57"/>
        <v>0</v>
      </c>
      <c r="O307" s="204">
        <f t="shared" si="58"/>
        <v>1069.0873066399977</v>
      </c>
      <c r="P307" s="204">
        <f>13.26+4.35+122.78+122.68+41.22+40.39+33.24+70.51+68.46+71.42+104.39+155.63+0.47+143.75+82.12+109.19+77.44+3.77+73.02+75.55+54.37+94.41+46.23+43.23+34+31.99+26.6+50.59+28.69+105.27+34.9+1.06+56.71+49.56+48.4+52.95+2.16+32.84+39.47+30.03+21.28+0.09+21.92+37.11+47.24+7.29+137.82+3.53+10.27+50.49+87.8+0.03+22.36+47.3+42.62+35.01+2.89+158.52+57.7+102.08+2.16+18.7+0.04+61.23+66.15+76.84+26.26+92.42+33.56+69.64+0.05+42.26+40.1+52.07+65.76+33.3+14.01+14.18+15.92+193.92</f>
        <v>4089.0200000000018</v>
      </c>
      <c r="Q307" s="205"/>
      <c r="R307" s="132">
        <v>0.82520000000000004</v>
      </c>
      <c r="S307" s="132">
        <v>0.75309999999999999</v>
      </c>
      <c r="T307" s="206">
        <v>156</v>
      </c>
      <c r="U307" s="206">
        <v>308</v>
      </c>
      <c r="V307" s="206">
        <v>0</v>
      </c>
      <c r="W307" s="206">
        <v>0</v>
      </c>
      <c r="X307" s="206">
        <f t="shared" si="54"/>
        <v>156</v>
      </c>
    </row>
    <row r="308" spans="1:24" ht="16.149999999999999" customHeight="1" x14ac:dyDescent="0.2">
      <c r="A308" s="173" t="s">
        <v>336</v>
      </c>
      <c r="B308" s="171" t="s">
        <v>1299</v>
      </c>
      <c r="C308" s="199">
        <v>43353</v>
      </c>
      <c r="D308" s="165" t="s">
        <v>903</v>
      </c>
      <c r="E308" s="165"/>
      <c r="F308" s="165" t="s">
        <v>904</v>
      </c>
      <c r="G308" s="167">
        <v>0</v>
      </c>
      <c r="H308" s="167">
        <f>133.21+7.29+3.83+8.15+28.53+1.74+0.58</f>
        <v>183.33000000000004</v>
      </c>
      <c r="I308" s="167">
        <f t="shared" si="55"/>
        <v>183.33000000000004</v>
      </c>
      <c r="J308" s="167">
        <v>0</v>
      </c>
      <c r="K308" s="167">
        <f>6.34+12.69+5.07+9.78+20.75+16.44+7.65+1.05+17.39+3.38+0.48+10.73+16.37+9.68+1.74+4.71+1.74+1.74+1.74+1.74+1.74+1.74+1.74+1.74+1.73+1.74+0.55+3.38</f>
        <v>165.57000000000011</v>
      </c>
      <c r="L308" s="167">
        <f>J308+K308</f>
        <v>165.57000000000011</v>
      </c>
      <c r="M308" s="127">
        <f t="shared" si="56"/>
        <v>0</v>
      </c>
      <c r="N308" s="167">
        <f t="shared" si="57"/>
        <v>17.759999999999934</v>
      </c>
      <c r="O308" s="167">
        <f t="shared" si="58"/>
        <v>17.759999999999934</v>
      </c>
      <c r="P308" s="178" t="s">
        <v>203</v>
      </c>
      <c r="Q308" s="187"/>
      <c r="R308" s="128">
        <v>0.96840000000000004</v>
      </c>
      <c r="S308" s="128">
        <v>1</v>
      </c>
      <c r="T308" s="169" t="s">
        <v>203</v>
      </c>
      <c r="U308" s="169" t="s">
        <v>337</v>
      </c>
      <c r="V308" s="169">
        <v>0</v>
      </c>
      <c r="W308" s="169">
        <v>0</v>
      </c>
      <c r="X308" s="169">
        <v>0</v>
      </c>
    </row>
    <row r="309" spans="1:24" ht="16.149999999999999" customHeight="1" x14ac:dyDescent="0.2">
      <c r="A309" s="173" t="s">
        <v>317</v>
      </c>
      <c r="B309" s="177" t="s">
        <v>1300</v>
      </c>
      <c r="C309" s="199">
        <v>42088</v>
      </c>
      <c r="D309" s="165" t="s">
        <v>362</v>
      </c>
      <c r="E309" s="165" t="s">
        <v>203</v>
      </c>
      <c r="F309" s="165" t="s">
        <v>362</v>
      </c>
      <c r="G309" s="167">
        <v>0</v>
      </c>
      <c r="H309" s="167">
        <f>803.77-149.62+3.44+14.26+8.68</f>
        <v>680.53</v>
      </c>
      <c r="I309" s="167">
        <f t="shared" si="55"/>
        <v>680.53</v>
      </c>
      <c r="J309" s="167">
        <v>0</v>
      </c>
      <c r="K309" s="167">
        <f>15.31+9.29+11.45+8.41+11.34+22.22+27.55+67.2+4.46+38.23+87.38+24.49+37.19+3.35+35.86+60.61+41.58+28.35+17.19+4.14+16.42+6.01+26.57+31.5+28.62+8.68+7.13</f>
        <v>680.53</v>
      </c>
      <c r="L309" s="167">
        <f t="shared" si="50"/>
        <v>680.53</v>
      </c>
      <c r="M309" s="127">
        <f t="shared" si="56"/>
        <v>0</v>
      </c>
      <c r="N309" s="167">
        <f t="shared" si="57"/>
        <v>0</v>
      </c>
      <c r="O309" s="167">
        <f t="shared" si="58"/>
        <v>0</v>
      </c>
      <c r="P309" s="178" t="s">
        <v>203</v>
      </c>
      <c r="Q309" s="187"/>
      <c r="R309" s="128">
        <v>0.93</v>
      </c>
      <c r="S309" s="128">
        <v>1</v>
      </c>
      <c r="T309" s="169">
        <v>0</v>
      </c>
      <c r="U309" s="169">
        <v>1200</v>
      </c>
      <c r="V309" s="169">
        <v>0</v>
      </c>
      <c r="W309" s="169">
        <v>0</v>
      </c>
      <c r="X309" s="169">
        <f t="shared" si="54"/>
        <v>0</v>
      </c>
    </row>
    <row r="310" spans="1:24" ht="16.149999999999999" customHeight="1" x14ac:dyDescent="0.2">
      <c r="A310" s="173" t="s">
        <v>247</v>
      </c>
      <c r="B310" s="197" t="s">
        <v>484</v>
      </c>
      <c r="C310" s="199">
        <v>42040</v>
      </c>
      <c r="D310" s="165" t="s">
        <v>553</v>
      </c>
      <c r="E310" s="165"/>
      <c r="F310" s="165" t="s">
        <v>905</v>
      </c>
      <c r="G310" s="167">
        <v>0</v>
      </c>
      <c r="H310" s="167">
        <f>1102.93-38.79+365.33+139.97+62.99+22.37+4.65+5.82-140.26</f>
        <v>1525.01</v>
      </c>
      <c r="I310" s="167">
        <f t="shared" si="55"/>
        <v>1525.01</v>
      </c>
      <c r="J310" s="167">
        <v>0</v>
      </c>
      <c r="K310" s="167">
        <f>1142.04+3.33+4.19+9.71+17.07+18.87+8.79+4.42+2.24+53.88+6.95+18.38+10.69+7.38+9.54+5.73+7.78+35.03+7.59+5.78+84.73+6.7+9.76+5.71+6.62+23.21+8.89</f>
        <v>1525.0100000000002</v>
      </c>
      <c r="L310" s="167">
        <f t="shared" si="50"/>
        <v>1525.0100000000002</v>
      </c>
      <c r="M310" s="127">
        <f t="shared" si="56"/>
        <v>0</v>
      </c>
      <c r="N310" s="167">
        <f t="shared" si="57"/>
        <v>0</v>
      </c>
      <c r="O310" s="167">
        <f t="shared" si="58"/>
        <v>0</v>
      </c>
      <c r="P310" s="178" t="s">
        <v>203</v>
      </c>
      <c r="Q310" s="187"/>
      <c r="R310" s="128">
        <v>0.88</v>
      </c>
      <c r="S310" s="128">
        <v>1</v>
      </c>
      <c r="T310" s="169">
        <v>0</v>
      </c>
      <c r="U310" s="169">
        <v>1100</v>
      </c>
      <c r="V310" s="169">
        <v>0</v>
      </c>
      <c r="W310" s="169">
        <v>0</v>
      </c>
      <c r="X310" s="169">
        <f t="shared" si="54"/>
        <v>0</v>
      </c>
    </row>
    <row r="311" spans="1:24" ht="16.149999999999999" customHeight="1" x14ac:dyDescent="0.2">
      <c r="A311" s="186" t="s">
        <v>402</v>
      </c>
      <c r="B311" s="197" t="s">
        <v>554</v>
      </c>
      <c r="C311" s="199">
        <v>42965</v>
      </c>
      <c r="D311" s="165" t="s">
        <v>485</v>
      </c>
      <c r="E311" s="165" t="s">
        <v>486</v>
      </c>
      <c r="F311" s="165" t="s">
        <v>555</v>
      </c>
      <c r="G311" s="167">
        <v>0</v>
      </c>
      <c r="H311" s="167">
        <f>1078.56+309.64+24.8+20.1+15.45+24.95-65.71</f>
        <v>1407.7899999999997</v>
      </c>
      <c r="I311" s="167">
        <f t="shared" si="55"/>
        <v>1407.7899999999997</v>
      </c>
      <c r="J311" s="167">
        <v>0</v>
      </c>
      <c r="K311" s="167">
        <f>26.92+20.54+25.53+231.4+143.11+159.19+120.3+0.11+0.52+180.05+0.312+149.87+0.2+52.7+0.48+46.83+0.48+70.96+3.17+31.38+16.84+0.88+64.5+11.39+0.03+2.47+18.6+11.28+17.75</f>
        <v>1407.7920000000004</v>
      </c>
      <c r="L311" s="167">
        <f t="shared" si="50"/>
        <v>1407.7920000000004</v>
      </c>
      <c r="M311" s="127">
        <f t="shared" si="56"/>
        <v>0</v>
      </c>
      <c r="N311" s="167">
        <f t="shared" si="57"/>
        <v>-2.0000000006348273E-3</v>
      </c>
      <c r="O311" s="167">
        <f t="shared" si="58"/>
        <v>-2.0000000006348273E-3</v>
      </c>
      <c r="P311" s="178" t="s">
        <v>203</v>
      </c>
      <c r="Q311" s="187"/>
      <c r="R311" s="128">
        <v>0.93</v>
      </c>
      <c r="S311" s="128">
        <v>1</v>
      </c>
      <c r="T311" s="169">
        <v>0</v>
      </c>
      <c r="U311" s="169">
        <v>0</v>
      </c>
      <c r="V311" s="169">
        <v>0</v>
      </c>
      <c r="W311" s="169">
        <v>0</v>
      </c>
      <c r="X311" s="169">
        <f t="shared" si="54"/>
        <v>0</v>
      </c>
    </row>
    <row r="312" spans="1:24" ht="16.149999999999999" customHeight="1" x14ac:dyDescent="0.2">
      <c r="A312" s="173" t="s">
        <v>316</v>
      </c>
      <c r="B312" s="197" t="s">
        <v>403</v>
      </c>
      <c r="C312" s="169"/>
      <c r="D312" s="165"/>
      <c r="E312" s="165"/>
      <c r="F312" s="165"/>
      <c r="G312" s="167">
        <v>0</v>
      </c>
      <c r="H312" s="167">
        <f>1340.26+6.55+21.98-7.26</f>
        <v>1361.53</v>
      </c>
      <c r="I312" s="167">
        <f t="shared" si="55"/>
        <v>1361.53</v>
      </c>
      <c r="J312" s="167">
        <v>0</v>
      </c>
      <c r="K312" s="167">
        <f>1153.79+0.3+7.09+21.44+57.04+64.05+21.98+23.62+12.22</f>
        <v>1361.5299999999997</v>
      </c>
      <c r="L312" s="167">
        <f t="shared" si="50"/>
        <v>1361.5299999999997</v>
      </c>
      <c r="M312" s="127">
        <f t="shared" si="56"/>
        <v>0</v>
      </c>
      <c r="N312" s="167">
        <f t="shared" si="57"/>
        <v>0</v>
      </c>
      <c r="O312" s="167">
        <f t="shared" si="58"/>
        <v>0</v>
      </c>
      <c r="P312" s="178" t="s">
        <v>203</v>
      </c>
      <c r="Q312" s="187"/>
      <c r="R312" s="128">
        <v>1</v>
      </c>
      <c r="S312" s="128">
        <v>1</v>
      </c>
      <c r="T312" s="169">
        <v>0</v>
      </c>
      <c r="U312" s="169">
        <v>2164</v>
      </c>
      <c r="V312" s="169">
        <v>0</v>
      </c>
      <c r="W312" s="169">
        <v>0</v>
      </c>
      <c r="X312" s="169">
        <f t="shared" si="54"/>
        <v>0</v>
      </c>
    </row>
    <row r="313" spans="1:24" ht="16.149999999999999" customHeight="1" x14ac:dyDescent="0.2">
      <c r="A313" s="173" t="s">
        <v>318</v>
      </c>
      <c r="B313" s="197" t="s">
        <v>319</v>
      </c>
      <c r="C313" s="199">
        <v>41778</v>
      </c>
      <c r="D313" s="165"/>
      <c r="E313" s="165"/>
      <c r="F313" s="165"/>
      <c r="G313" s="167">
        <v>0</v>
      </c>
      <c r="H313" s="167">
        <f>695.26-101.08-29.1</f>
        <v>565.07999999999993</v>
      </c>
      <c r="I313" s="167">
        <f t="shared" si="55"/>
        <v>565.07999999999993</v>
      </c>
      <c r="J313" s="167">
        <v>0</v>
      </c>
      <c r="K313" s="167">
        <f>13.24+15.66+9.75+7.99+81.45+46.51+55.43+10.81+55.16+38.04+44.03+50.13+36.35+33.65+11.2415374+5.7+24.09+20.56+5.29</f>
        <v>565.0815374</v>
      </c>
      <c r="L313" s="167">
        <f t="shared" si="50"/>
        <v>565.0815374</v>
      </c>
      <c r="M313" s="127">
        <f t="shared" si="56"/>
        <v>0</v>
      </c>
      <c r="N313" s="167">
        <f t="shared" si="57"/>
        <v>-1.5374000000747401E-3</v>
      </c>
      <c r="O313" s="167">
        <f t="shared" si="58"/>
        <v>-1.5374000000747401E-3</v>
      </c>
      <c r="P313" s="178" t="s">
        <v>203</v>
      </c>
      <c r="Q313" s="187"/>
      <c r="R313" s="128">
        <v>1</v>
      </c>
      <c r="S313" s="128">
        <v>1</v>
      </c>
      <c r="T313" s="169">
        <v>0</v>
      </c>
      <c r="U313" s="169">
        <v>879</v>
      </c>
      <c r="V313" s="169">
        <v>0</v>
      </c>
      <c r="W313" s="169">
        <v>0</v>
      </c>
      <c r="X313" s="169">
        <f t="shared" si="54"/>
        <v>0</v>
      </c>
    </row>
    <row r="314" spans="1:24" ht="16.149999999999999" customHeight="1" x14ac:dyDescent="0.2">
      <c r="A314" s="173" t="s">
        <v>906</v>
      </c>
      <c r="B314" s="197">
        <v>40826</v>
      </c>
      <c r="C314" s="169"/>
      <c r="D314" s="165"/>
      <c r="E314" s="165"/>
      <c r="F314" s="165"/>
      <c r="G314" s="167">
        <v>317.06</v>
      </c>
      <c r="H314" s="167">
        <v>0</v>
      </c>
      <c r="I314" s="167">
        <f t="shared" si="55"/>
        <v>317.06</v>
      </c>
      <c r="J314" s="167">
        <f>171.12+31.89+58+41.91+14.14</f>
        <v>317.05999999999995</v>
      </c>
      <c r="K314" s="167">
        <v>0</v>
      </c>
      <c r="L314" s="167">
        <f t="shared" si="50"/>
        <v>317.05999999999995</v>
      </c>
      <c r="M314" s="127">
        <f t="shared" si="56"/>
        <v>0</v>
      </c>
      <c r="N314" s="167">
        <f t="shared" si="57"/>
        <v>0</v>
      </c>
      <c r="O314" s="167">
        <f t="shared" si="58"/>
        <v>0</v>
      </c>
      <c r="P314" s="178" t="s">
        <v>203</v>
      </c>
      <c r="Q314" s="187"/>
      <c r="R314" s="128">
        <v>1</v>
      </c>
      <c r="S314" s="128">
        <v>1</v>
      </c>
      <c r="T314" s="169">
        <v>23</v>
      </c>
      <c r="U314" s="169">
        <v>23</v>
      </c>
      <c r="V314" s="169">
        <v>0</v>
      </c>
      <c r="W314" s="169">
        <v>23</v>
      </c>
      <c r="X314" s="169">
        <f t="shared" si="54"/>
        <v>0</v>
      </c>
    </row>
    <row r="315" spans="1:24" ht="16.149999999999999" customHeight="1" x14ac:dyDescent="0.2">
      <c r="A315" s="173" t="s">
        <v>320</v>
      </c>
      <c r="B315" s="197" t="s">
        <v>449</v>
      </c>
      <c r="C315" s="199" t="s">
        <v>348</v>
      </c>
      <c r="D315" s="165" t="s">
        <v>349</v>
      </c>
      <c r="E315" s="165" t="s">
        <v>203</v>
      </c>
      <c r="F315" s="165" t="s">
        <v>349</v>
      </c>
      <c r="G315" s="167">
        <v>0</v>
      </c>
      <c r="H315" s="167">
        <f>1272.84+113.85+6.19+38.08+2.35-25.63</f>
        <v>1407.6799999999996</v>
      </c>
      <c r="I315" s="167">
        <f t="shared" si="55"/>
        <v>1407.6799999999996</v>
      </c>
      <c r="J315" s="167">
        <v>0</v>
      </c>
      <c r="K315" s="167">
        <f>314.53+80.78+3.24+199.61+154.06+0.48+0.42+186.03+0.54+171.81+72.19+68.76+6.2+60.93+1.3+1.56+66.15+12.57+2.35+4.17</f>
        <v>1407.68</v>
      </c>
      <c r="L315" s="167">
        <f t="shared" si="50"/>
        <v>1407.68</v>
      </c>
      <c r="M315" s="127">
        <f t="shared" si="56"/>
        <v>0</v>
      </c>
      <c r="N315" s="167">
        <f t="shared" si="57"/>
        <v>0</v>
      </c>
      <c r="O315" s="167">
        <f t="shared" si="58"/>
        <v>0</v>
      </c>
      <c r="P315" s="178" t="s">
        <v>203</v>
      </c>
      <c r="Q315" s="187"/>
      <c r="R315" s="128">
        <v>1</v>
      </c>
      <c r="S315" s="128">
        <v>1</v>
      </c>
      <c r="T315" s="169">
        <v>0</v>
      </c>
      <c r="U315" s="169">
        <v>1340</v>
      </c>
      <c r="V315" s="169">
        <v>0</v>
      </c>
      <c r="W315" s="169">
        <v>0</v>
      </c>
      <c r="X315" s="169">
        <f t="shared" si="54"/>
        <v>0</v>
      </c>
    </row>
    <row r="316" spans="1:24" ht="16.149999999999999" customHeight="1" x14ac:dyDescent="0.2">
      <c r="A316" s="173" t="s">
        <v>907</v>
      </c>
      <c r="B316" s="197" t="s">
        <v>908</v>
      </c>
      <c r="C316" s="171">
        <v>41562</v>
      </c>
      <c r="D316" s="165" t="s">
        <v>909</v>
      </c>
      <c r="E316" s="165" t="s">
        <v>910</v>
      </c>
      <c r="F316" s="165" t="s">
        <v>910</v>
      </c>
      <c r="G316" s="167">
        <f>367.61+0.321-7.748</f>
        <v>360.18300000000005</v>
      </c>
      <c r="H316" s="167">
        <v>0</v>
      </c>
      <c r="I316" s="167">
        <f t="shared" si="55"/>
        <v>360.18300000000005</v>
      </c>
      <c r="J316" s="167">
        <f>42.19+17.86+0.16+9.24+0.15+11.83+0.3+14.24+0.42+22.51+0.88+29.33+0.3+19.85+19.03+13.66+1.31+15.8+24.25+29.82+6.1+21.28+17.11+0.363+9.19+7.07+1.93+8.72+0.78+8.14+5.82+0.55</f>
        <v>360.18299999999999</v>
      </c>
      <c r="K316" s="167">
        <v>0</v>
      </c>
      <c r="L316" s="167">
        <f t="shared" si="50"/>
        <v>360.18299999999999</v>
      </c>
      <c r="M316" s="127">
        <f t="shared" si="56"/>
        <v>0</v>
      </c>
      <c r="N316" s="167">
        <f t="shared" si="57"/>
        <v>0</v>
      </c>
      <c r="O316" s="167">
        <f t="shared" si="58"/>
        <v>0</v>
      </c>
      <c r="P316" s="167">
        <f>20.89-17.52-3.37</f>
        <v>0</v>
      </c>
      <c r="Q316" s="187"/>
      <c r="R316" s="128">
        <v>1</v>
      </c>
      <c r="S316" s="128">
        <v>1</v>
      </c>
      <c r="T316" s="174">
        <v>21</v>
      </c>
      <c r="U316" s="174">
        <v>21</v>
      </c>
      <c r="V316" s="174">
        <v>0</v>
      </c>
      <c r="W316" s="169">
        <v>21</v>
      </c>
      <c r="X316" s="169">
        <f t="shared" si="54"/>
        <v>0</v>
      </c>
    </row>
    <row r="317" spans="1:24" ht="16.149999999999999" customHeight="1" x14ac:dyDescent="0.2">
      <c r="A317" s="173" t="s">
        <v>911</v>
      </c>
      <c r="B317" s="197">
        <v>41218</v>
      </c>
      <c r="C317" s="169" t="s">
        <v>203</v>
      </c>
      <c r="D317" s="165" t="s">
        <v>203</v>
      </c>
      <c r="E317" s="165" t="s">
        <v>203</v>
      </c>
      <c r="F317" s="165" t="s">
        <v>203</v>
      </c>
      <c r="G317" s="167">
        <v>95.31</v>
      </c>
      <c r="H317" s="167">
        <v>0</v>
      </c>
      <c r="I317" s="167">
        <f t="shared" si="55"/>
        <v>95.31</v>
      </c>
      <c r="J317" s="167">
        <v>95.31</v>
      </c>
      <c r="K317" s="167">
        <v>0</v>
      </c>
      <c r="L317" s="167">
        <f t="shared" si="50"/>
        <v>95.31</v>
      </c>
      <c r="M317" s="127">
        <f t="shared" si="56"/>
        <v>0</v>
      </c>
      <c r="N317" s="167">
        <f t="shared" si="57"/>
        <v>0</v>
      </c>
      <c r="O317" s="167">
        <f t="shared" si="58"/>
        <v>0</v>
      </c>
      <c r="P317" s="178" t="s">
        <v>203</v>
      </c>
      <c r="Q317" s="187"/>
      <c r="R317" s="128">
        <v>1</v>
      </c>
      <c r="S317" s="128">
        <v>1</v>
      </c>
      <c r="T317" s="174">
        <v>8</v>
      </c>
      <c r="U317" s="174">
        <v>8</v>
      </c>
      <c r="V317" s="174">
        <v>0</v>
      </c>
      <c r="W317" s="169">
        <v>8</v>
      </c>
      <c r="X317" s="169">
        <f t="shared" si="54"/>
        <v>0</v>
      </c>
    </row>
    <row r="318" spans="1:24" ht="16.149999999999999" customHeight="1" x14ac:dyDescent="0.2">
      <c r="A318" s="186" t="s">
        <v>912</v>
      </c>
      <c r="B318" s="171" t="s">
        <v>913</v>
      </c>
      <c r="C318" s="169" t="s">
        <v>203</v>
      </c>
      <c r="D318" s="165" t="s">
        <v>203</v>
      </c>
      <c r="E318" s="165" t="s">
        <v>203</v>
      </c>
      <c r="F318" s="165" t="s">
        <v>203</v>
      </c>
      <c r="G318" s="167">
        <f>483.38+9.37+0.54</f>
        <v>493.29</v>
      </c>
      <c r="H318" s="167">
        <v>0</v>
      </c>
      <c r="I318" s="167">
        <f t="shared" si="55"/>
        <v>493.29</v>
      </c>
      <c r="J318" s="167">
        <f>250.33+64.99+10.64+54.26+112.53+0.54</f>
        <v>493.29</v>
      </c>
      <c r="K318" s="167">
        <v>0</v>
      </c>
      <c r="L318" s="167">
        <f t="shared" si="50"/>
        <v>493.29</v>
      </c>
      <c r="M318" s="127">
        <f t="shared" si="56"/>
        <v>0</v>
      </c>
      <c r="N318" s="167">
        <f t="shared" si="57"/>
        <v>0</v>
      </c>
      <c r="O318" s="167">
        <f t="shared" si="58"/>
        <v>0</v>
      </c>
      <c r="P318" s="178" t="s">
        <v>203</v>
      </c>
      <c r="Q318" s="187"/>
      <c r="R318" s="128">
        <v>1</v>
      </c>
      <c r="S318" s="128">
        <v>1</v>
      </c>
      <c r="T318" s="169">
        <v>35</v>
      </c>
      <c r="U318" s="169">
        <v>35</v>
      </c>
      <c r="V318" s="169">
        <v>0</v>
      </c>
      <c r="W318" s="169">
        <v>35</v>
      </c>
      <c r="X318" s="169">
        <f t="shared" si="54"/>
        <v>0</v>
      </c>
    </row>
    <row r="319" spans="1:24" ht="16.149999999999999" customHeight="1" x14ac:dyDescent="0.2">
      <c r="A319" s="186" t="s">
        <v>914</v>
      </c>
      <c r="B319" s="171" t="s">
        <v>1301</v>
      </c>
      <c r="C319" s="169"/>
      <c r="D319" s="165"/>
      <c r="E319" s="165"/>
      <c r="F319" s="165"/>
      <c r="G319" s="167">
        <f>3.53+2099.42</f>
        <v>2102.9500000000003</v>
      </c>
      <c r="H319" s="167">
        <v>0</v>
      </c>
      <c r="I319" s="167">
        <f t="shared" si="55"/>
        <v>2102.9500000000003</v>
      </c>
      <c r="J319" s="167">
        <f>3.53+39.99+16.47+6.22+8.39+39.98</f>
        <v>114.58000000000001</v>
      </c>
      <c r="K319" s="167">
        <v>0</v>
      </c>
      <c r="L319" s="167">
        <f t="shared" si="50"/>
        <v>114.58000000000001</v>
      </c>
      <c r="M319" s="127">
        <f t="shared" si="56"/>
        <v>1988.3700000000003</v>
      </c>
      <c r="N319" s="167">
        <f t="shared" si="57"/>
        <v>0</v>
      </c>
      <c r="O319" s="167">
        <f t="shared" si="58"/>
        <v>1988.3700000000003</v>
      </c>
      <c r="P319" s="178" t="s">
        <v>203</v>
      </c>
      <c r="Q319" s="187"/>
      <c r="R319" s="128">
        <v>0</v>
      </c>
      <c r="S319" s="128">
        <v>0</v>
      </c>
      <c r="T319" s="169">
        <v>0</v>
      </c>
      <c r="U319" s="169">
        <v>0</v>
      </c>
      <c r="V319" s="169">
        <v>0</v>
      </c>
      <c r="W319" s="169">
        <v>0</v>
      </c>
      <c r="X319" s="169">
        <f t="shared" si="54"/>
        <v>0</v>
      </c>
    </row>
    <row r="320" spans="1:24" ht="16.149999999999999" customHeight="1" x14ac:dyDescent="0.2">
      <c r="A320" s="186" t="s">
        <v>1302</v>
      </c>
      <c r="B320" s="171" t="s">
        <v>1303</v>
      </c>
      <c r="C320" s="199">
        <v>44516</v>
      </c>
      <c r="D320" s="165"/>
      <c r="E320" s="165"/>
      <c r="F320" s="165"/>
      <c r="G320" s="167">
        <f>4.21+26.61+1289.31</f>
        <v>1320.1299999999999</v>
      </c>
      <c r="H320" s="167">
        <v>0</v>
      </c>
      <c r="I320" s="167">
        <f t="shared" si="55"/>
        <v>1320.1299999999999</v>
      </c>
      <c r="J320" s="167">
        <f>4.21+26.61+23.68</f>
        <v>54.5</v>
      </c>
      <c r="K320" s="167">
        <v>0</v>
      </c>
      <c r="L320" s="167">
        <f t="shared" si="50"/>
        <v>54.5</v>
      </c>
      <c r="M320" s="127">
        <f t="shared" si="56"/>
        <v>1265.6299999999999</v>
      </c>
      <c r="N320" s="167">
        <f t="shared" si="57"/>
        <v>0</v>
      </c>
      <c r="O320" s="167">
        <f t="shared" si="58"/>
        <v>1265.6299999999999</v>
      </c>
      <c r="P320" s="178">
        <f>4.21+26.61+23.68</f>
        <v>54.5</v>
      </c>
      <c r="Q320" s="187"/>
      <c r="R320" s="128">
        <v>0</v>
      </c>
      <c r="S320" s="128">
        <v>0</v>
      </c>
      <c r="T320" s="169">
        <v>61</v>
      </c>
      <c r="U320" s="169">
        <v>0</v>
      </c>
      <c r="V320" s="169">
        <v>0</v>
      </c>
      <c r="W320" s="169">
        <v>0</v>
      </c>
      <c r="X320" s="169">
        <f t="shared" si="54"/>
        <v>61</v>
      </c>
    </row>
    <row r="321" spans="1:24" ht="16.149999999999999" customHeight="1" x14ac:dyDescent="0.2">
      <c r="A321" s="186" t="s">
        <v>915</v>
      </c>
      <c r="B321" s="171" t="s">
        <v>916</v>
      </c>
      <c r="C321" s="169"/>
      <c r="D321" s="165"/>
      <c r="E321" s="165"/>
      <c r="F321" s="165"/>
      <c r="G321" s="167">
        <f>0.65+5.63+1.64+0.0044</f>
        <v>7.9244000000000003</v>
      </c>
      <c r="H321" s="167">
        <v>0</v>
      </c>
      <c r="I321" s="167">
        <f t="shared" si="55"/>
        <v>7.9244000000000003</v>
      </c>
      <c r="J321" s="167">
        <f>0.65+0.97+0.66444+5.64</f>
        <v>7.9244399999999997</v>
      </c>
      <c r="K321" s="167">
        <v>0</v>
      </c>
      <c r="L321" s="167">
        <f t="shared" si="50"/>
        <v>7.9244399999999997</v>
      </c>
      <c r="M321" s="127">
        <f t="shared" si="56"/>
        <v>-3.999999999937387E-5</v>
      </c>
      <c r="N321" s="167">
        <f t="shared" si="57"/>
        <v>0</v>
      </c>
      <c r="O321" s="167">
        <f t="shared" si="58"/>
        <v>-3.999999999937387E-5</v>
      </c>
      <c r="P321" s="178" t="s">
        <v>203</v>
      </c>
      <c r="Q321" s="187"/>
      <c r="R321" s="128">
        <v>0</v>
      </c>
      <c r="S321" s="128">
        <v>0</v>
      </c>
      <c r="T321" s="169">
        <v>0</v>
      </c>
      <c r="U321" s="169">
        <v>0</v>
      </c>
      <c r="V321" s="169">
        <v>0</v>
      </c>
      <c r="W321" s="169">
        <v>0</v>
      </c>
      <c r="X321" s="169">
        <f t="shared" si="54"/>
        <v>0</v>
      </c>
    </row>
    <row r="322" spans="1:24" ht="16.149999999999999" customHeight="1" x14ac:dyDescent="0.2">
      <c r="A322" s="186" t="s">
        <v>297</v>
      </c>
      <c r="B322" s="171" t="s">
        <v>1304</v>
      </c>
      <c r="C322" s="199">
        <v>42234</v>
      </c>
      <c r="D322" s="165" t="s">
        <v>917</v>
      </c>
      <c r="E322" s="165" t="s">
        <v>487</v>
      </c>
      <c r="F322" s="165" t="s">
        <v>1305</v>
      </c>
      <c r="G322" s="167">
        <f>4304.23+12.57+67.09+34.46+78.34+4.73+24.22+37.67+52.93+11.4831285</f>
        <v>4627.7231284999998</v>
      </c>
      <c r="H322" s="167">
        <v>0</v>
      </c>
      <c r="I322" s="167">
        <f t="shared" si="55"/>
        <v>4627.7231284999998</v>
      </c>
      <c r="J322" s="167">
        <f>3247.8+91.29+224.24+68.5+65.07+20.17+99.03+12.4+170+65.45+23.63+34.17+32.85+0.66+139.58+65.36+17.24+4.72+23+5.076+37.68+1.24+2.03+34.35+50.07+27.41+0.22+20.9+17.82+8.46</f>
        <v>4610.4159999999993</v>
      </c>
      <c r="K322" s="167">
        <v>0</v>
      </c>
      <c r="L322" s="167">
        <f t="shared" si="50"/>
        <v>4610.4159999999993</v>
      </c>
      <c r="M322" s="127">
        <f t="shared" si="56"/>
        <v>17.307128500000545</v>
      </c>
      <c r="N322" s="167">
        <f t="shared" si="57"/>
        <v>0</v>
      </c>
      <c r="O322" s="167">
        <f t="shared" si="58"/>
        <v>17.307128500000545</v>
      </c>
      <c r="P322" s="167">
        <f>3247.8+91.29+224.24+68.5+65.07+20.17+99.03+12.4+170+65.45+23.63+34.17+32.85+0.66+139.58+65.36+17.24+4.72+23+5.076+37.68+1.24+2.03-3525.8+34.35+50.07-95.24-76.24-19.06-19.06-38.12-38.12-19.06-304.96-57.18-19.06-79.36+27.41+0.22+20.9-79.86+17.82-19.97+8.44</f>
        <v>219.30599999999973</v>
      </c>
      <c r="Q322" s="187"/>
      <c r="R322" s="128">
        <v>0.97</v>
      </c>
      <c r="S322" s="128">
        <v>0.99</v>
      </c>
      <c r="T322" s="169">
        <v>230</v>
      </c>
      <c r="U322" s="169">
        <v>230</v>
      </c>
      <c r="V322" s="169">
        <v>0</v>
      </c>
      <c r="W322" s="169">
        <v>230</v>
      </c>
      <c r="X322" s="169">
        <f t="shared" si="54"/>
        <v>0</v>
      </c>
    </row>
    <row r="323" spans="1:24" ht="16.149999999999999" customHeight="1" x14ac:dyDescent="0.2">
      <c r="A323" s="186" t="s">
        <v>918</v>
      </c>
      <c r="B323" s="171">
        <v>41463</v>
      </c>
      <c r="C323" s="169"/>
      <c r="D323" s="165"/>
      <c r="E323" s="165"/>
      <c r="F323" s="165"/>
      <c r="G323" s="167">
        <v>96.88</v>
      </c>
      <c r="H323" s="167">
        <v>0</v>
      </c>
      <c r="I323" s="167">
        <f t="shared" si="55"/>
        <v>96.88</v>
      </c>
      <c r="J323" s="167">
        <v>96.88</v>
      </c>
      <c r="K323" s="167">
        <v>0</v>
      </c>
      <c r="L323" s="167">
        <f t="shared" si="50"/>
        <v>96.88</v>
      </c>
      <c r="M323" s="127">
        <f t="shared" si="56"/>
        <v>0</v>
      </c>
      <c r="N323" s="167">
        <f t="shared" si="57"/>
        <v>0</v>
      </c>
      <c r="O323" s="167">
        <f t="shared" si="58"/>
        <v>0</v>
      </c>
      <c r="P323" s="178" t="s">
        <v>203</v>
      </c>
      <c r="Q323" s="187"/>
      <c r="R323" s="128">
        <v>1</v>
      </c>
      <c r="S323" s="128">
        <v>0</v>
      </c>
      <c r="T323" s="169">
        <v>8</v>
      </c>
      <c r="U323" s="169">
        <v>8</v>
      </c>
      <c r="V323" s="169">
        <v>0</v>
      </c>
      <c r="W323" s="169">
        <v>8</v>
      </c>
      <c r="X323" s="169">
        <f t="shared" si="54"/>
        <v>0</v>
      </c>
    </row>
    <row r="324" spans="1:24" ht="16.149999999999999" customHeight="1" x14ac:dyDescent="0.2">
      <c r="A324" s="194" t="s">
        <v>496</v>
      </c>
      <c r="B324" s="171" t="s">
        <v>1306</v>
      </c>
      <c r="C324" s="199">
        <v>43495</v>
      </c>
      <c r="D324" s="165" t="s">
        <v>919</v>
      </c>
      <c r="E324" s="165"/>
      <c r="F324" s="165" t="s">
        <v>1307</v>
      </c>
      <c r="G324" s="167">
        <v>0</v>
      </c>
      <c r="H324" s="167">
        <f>1061.63+1.42+3.35+62.07+18.31-30.22</f>
        <v>1116.56</v>
      </c>
      <c r="I324" s="167">
        <f t="shared" si="55"/>
        <v>1116.56</v>
      </c>
      <c r="J324" s="167">
        <v>0</v>
      </c>
      <c r="K324" s="167">
        <f>20.22+7.02+3.03+9.88+20.26+40.39+38.65+50+56.13+37.13+0.32+0.33+31.42+11.6+0.21+97.21+0.498+45.71+100.54+75.91+68.61+46.53+86.21+74.22+25.39+21.45+10.72+105.86+0.92+0.08+17.44+12.67</f>
        <v>1116.558</v>
      </c>
      <c r="L324" s="167">
        <f t="shared" si="50"/>
        <v>1116.558</v>
      </c>
      <c r="M324" s="127">
        <f t="shared" si="56"/>
        <v>0</v>
      </c>
      <c r="N324" s="167">
        <f t="shared" si="57"/>
        <v>1.9999999999527063E-3</v>
      </c>
      <c r="O324" s="167">
        <f t="shared" si="58"/>
        <v>1.9999999999527063E-3</v>
      </c>
      <c r="P324" s="178" t="s">
        <v>203</v>
      </c>
      <c r="Q324" s="187"/>
      <c r="R324" s="128">
        <v>0.96530000000000005</v>
      </c>
      <c r="S324" s="128">
        <v>1</v>
      </c>
      <c r="T324" s="169">
        <v>0</v>
      </c>
      <c r="U324" s="169">
        <v>247</v>
      </c>
      <c r="V324" s="169">
        <v>0</v>
      </c>
      <c r="W324" s="169">
        <v>0</v>
      </c>
      <c r="X324" s="169">
        <f t="shared" si="54"/>
        <v>0</v>
      </c>
    </row>
    <row r="325" spans="1:24" ht="16.149999999999999" customHeight="1" x14ac:dyDescent="0.2">
      <c r="A325" s="170" t="s">
        <v>428</v>
      </c>
      <c r="B325" s="171" t="s">
        <v>920</v>
      </c>
      <c r="C325" s="199">
        <v>42964</v>
      </c>
      <c r="D325" s="165" t="s">
        <v>488</v>
      </c>
      <c r="E325" s="165" t="s">
        <v>203</v>
      </c>
      <c r="F325" s="165" t="s">
        <v>921</v>
      </c>
      <c r="G325" s="167">
        <v>0</v>
      </c>
      <c r="H325" s="167">
        <f>1117.33-684.29+14.28+1.73+17.85-22.53</f>
        <v>444.37</v>
      </c>
      <c r="I325" s="167">
        <f t="shared" si="55"/>
        <v>444.37</v>
      </c>
      <c r="J325" s="167">
        <v>0</v>
      </c>
      <c r="K325" s="167">
        <f>21.28+8.71+10.3+0.11+0.11+34.89+48.03+29.63+57.31+34.06+41.57+0.64+42.41+1.89+26.85+1.35+28.03+20.74+0.07+0.32+18.22+1.1+16.75</f>
        <v>444.37</v>
      </c>
      <c r="L325" s="167">
        <f t="shared" si="50"/>
        <v>444.37</v>
      </c>
      <c r="M325" s="127">
        <f t="shared" si="56"/>
        <v>0</v>
      </c>
      <c r="N325" s="167">
        <f t="shared" si="57"/>
        <v>0</v>
      </c>
      <c r="O325" s="167">
        <f t="shared" si="58"/>
        <v>0</v>
      </c>
      <c r="P325" s="178" t="s">
        <v>203</v>
      </c>
      <c r="Q325" s="187"/>
      <c r="R325" s="128">
        <v>0.56999999999999995</v>
      </c>
      <c r="S325" s="128">
        <v>1</v>
      </c>
      <c r="T325" s="169">
        <v>0</v>
      </c>
      <c r="U325" s="169">
        <v>588</v>
      </c>
      <c r="V325" s="169">
        <v>0</v>
      </c>
      <c r="W325" s="169">
        <v>0</v>
      </c>
      <c r="X325" s="169">
        <f t="shared" si="54"/>
        <v>0</v>
      </c>
    </row>
    <row r="326" spans="1:24" ht="16.149999999999999" customHeight="1" x14ac:dyDescent="0.2">
      <c r="A326" s="186" t="s">
        <v>450</v>
      </c>
      <c r="B326" s="171" t="s">
        <v>1308</v>
      </c>
      <c r="C326" s="199">
        <v>43220</v>
      </c>
      <c r="D326" s="165" t="s">
        <v>922</v>
      </c>
      <c r="E326" s="165" t="s">
        <v>558</v>
      </c>
      <c r="F326" s="165" t="s">
        <v>1309</v>
      </c>
      <c r="G326" s="167">
        <v>0</v>
      </c>
      <c r="H326" s="167">
        <f>649.89+5.66+81.29+23.75+3.08+7.47+52.35+22.44</f>
        <v>845.93000000000006</v>
      </c>
      <c r="I326" s="167">
        <f t="shared" si="55"/>
        <v>845.93000000000006</v>
      </c>
      <c r="J326" s="167">
        <v>0</v>
      </c>
      <c r="K326" s="167">
        <f>12.38+19.59+15.69+75.67+10.62+36.15+0.31+64.96+41.72+66.22+0.28+84.48+48.73+5.84+25.45+19.97+43.46+28.56+35.91+17.93+17.65+30.26+3.13+6.78+12.94+52.35+11.4</f>
        <v>788.43</v>
      </c>
      <c r="L326" s="167">
        <f t="shared" si="50"/>
        <v>788.43</v>
      </c>
      <c r="M326" s="127">
        <f t="shared" si="56"/>
        <v>0</v>
      </c>
      <c r="N326" s="167">
        <f t="shared" si="57"/>
        <v>57.500000000000114</v>
      </c>
      <c r="O326" s="167">
        <f t="shared" si="58"/>
        <v>57.500000000000114</v>
      </c>
      <c r="P326" s="178" t="s">
        <v>203</v>
      </c>
      <c r="Q326" s="187"/>
      <c r="R326" s="128">
        <v>0.82850000000000001</v>
      </c>
      <c r="S326" s="128">
        <v>1</v>
      </c>
      <c r="T326" s="169">
        <v>0</v>
      </c>
      <c r="U326" s="169">
        <v>919</v>
      </c>
      <c r="V326" s="169">
        <v>0</v>
      </c>
      <c r="W326" s="169">
        <v>0</v>
      </c>
      <c r="X326" s="169">
        <f t="shared" si="54"/>
        <v>0</v>
      </c>
    </row>
    <row r="327" spans="1:24" ht="16.149999999999999" customHeight="1" x14ac:dyDescent="0.2">
      <c r="A327" s="186" t="s">
        <v>923</v>
      </c>
      <c r="B327" s="171" t="s">
        <v>1310</v>
      </c>
      <c r="C327" s="199">
        <v>44246</v>
      </c>
      <c r="D327" s="165"/>
      <c r="E327" s="165"/>
      <c r="F327" s="165" t="s">
        <v>1311</v>
      </c>
      <c r="G327" s="167">
        <v>0</v>
      </c>
      <c r="H327" s="167">
        <f>448.84+1.55-1.55+4.95+77.31+5.31</f>
        <v>536.40999999999985</v>
      </c>
      <c r="I327" s="167">
        <f t="shared" si="55"/>
        <v>536.40999999999985</v>
      </c>
      <c r="J327" s="167">
        <v>0</v>
      </c>
      <c r="K327" s="167">
        <f>8.55+11.12+3.4+10.12+87+36.91+24.36+29.22+2.45+33.37+20.28</f>
        <v>266.77999999999997</v>
      </c>
      <c r="L327" s="167">
        <f t="shared" si="50"/>
        <v>266.77999999999997</v>
      </c>
      <c r="M327" s="127">
        <f t="shared" si="56"/>
        <v>0</v>
      </c>
      <c r="N327" s="167">
        <f t="shared" si="57"/>
        <v>269.62999999999988</v>
      </c>
      <c r="O327" s="167">
        <f t="shared" si="58"/>
        <v>269.62999999999988</v>
      </c>
      <c r="P327" s="178" t="s">
        <v>203</v>
      </c>
      <c r="Q327" s="187"/>
      <c r="R327" s="128">
        <v>0.32700000000000001</v>
      </c>
      <c r="S327" s="128">
        <v>1</v>
      </c>
      <c r="T327" s="169">
        <v>0</v>
      </c>
      <c r="U327" s="169">
        <v>1200</v>
      </c>
      <c r="V327" s="169">
        <v>0</v>
      </c>
      <c r="W327" s="169">
        <v>0</v>
      </c>
      <c r="X327" s="169">
        <f t="shared" si="54"/>
        <v>0</v>
      </c>
    </row>
    <row r="328" spans="1:24" ht="16.149999999999999" customHeight="1" x14ac:dyDescent="0.2">
      <c r="A328" s="186" t="s">
        <v>1312</v>
      </c>
      <c r="B328" s="171" t="s">
        <v>1313</v>
      </c>
      <c r="C328" s="199">
        <v>44399</v>
      </c>
      <c r="D328" s="165"/>
      <c r="E328" s="165"/>
      <c r="F328" s="165"/>
      <c r="G328" s="167">
        <v>0</v>
      </c>
      <c r="H328" s="167">
        <f>4156.51+2.31+7.45+6.62-773.19438658+43.99+657.63-3.57-497.98842902</f>
        <v>3599.7571844000004</v>
      </c>
      <c r="I328" s="167">
        <f t="shared" si="55"/>
        <v>3599.7571844000004</v>
      </c>
      <c r="J328" s="167">
        <v>0</v>
      </c>
      <c r="K328" s="167">
        <f>65.99+13.16+10.46+14.19+3.21+6.62+52.04+0.34+1.09+14.84+8.81+56.55</f>
        <v>247.3</v>
      </c>
      <c r="L328" s="167">
        <f t="shared" si="50"/>
        <v>247.3</v>
      </c>
      <c r="M328" s="127">
        <f t="shared" si="56"/>
        <v>0</v>
      </c>
      <c r="N328" s="167">
        <f t="shared" si="57"/>
        <v>3352.4571844000002</v>
      </c>
      <c r="O328" s="167">
        <f t="shared" si="58"/>
        <v>3352.4571844000002</v>
      </c>
      <c r="P328" s="178" t="s">
        <v>203</v>
      </c>
      <c r="Q328" s="187"/>
      <c r="R328" s="128">
        <v>0</v>
      </c>
      <c r="S328" s="128">
        <v>1</v>
      </c>
      <c r="T328" s="169">
        <v>0</v>
      </c>
      <c r="U328" s="169">
        <v>1100</v>
      </c>
      <c r="V328" s="169">
        <v>0</v>
      </c>
      <c r="W328" s="169">
        <v>0</v>
      </c>
      <c r="X328" s="169">
        <f t="shared" si="54"/>
        <v>0</v>
      </c>
    </row>
    <row r="329" spans="1:24" ht="16.149999999999999" customHeight="1" x14ac:dyDescent="0.2">
      <c r="A329" s="186" t="s">
        <v>351</v>
      </c>
      <c r="B329" s="171">
        <v>41911</v>
      </c>
      <c r="C329" s="169"/>
      <c r="D329" s="165"/>
      <c r="E329" s="165"/>
      <c r="F329" s="165"/>
      <c r="G329" s="167">
        <f>100.01-0.6</f>
        <v>99.410000000000011</v>
      </c>
      <c r="H329" s="167">
        <v>0</v>
      </c>
      <c r="I329" s="167">
        <f t="shared" si="55"/>
        <v>99.410000000000011</v>
      </c>
      <c r="J329" s="167">
        <v>99.41</v>
      </c>
      <c r="K329" s="167">
        <v>0</v>
      </c>
      <c r="L329" s="167">
        <f t="shared" si="50"/>
        <v>99.41</v>
      </c>
      <c r="M329" s="127">
        <f t="shared" si="56"/>
        <v>0</v>
      </c>
      <c r="N329" s="167">
        <f t="shared" si="57"/>
        <v>0</v>
      </c>
      <c r="O329" s="167">
        <f t="shared" si="58"/>
        <v>0</v>
      </c>
      <c r="P329" s="178" t="s">
        <v>203</v>
      </c>
      <c r="Q329" s="187"/>
      <c r="R329" s="128">
        <v>1</v>
      </c>
      <c r="S329" s="128">
        <v>0</v>
      </c>
      <c r="T329" s="169">
        <v>8</v>
      </c>
      <c r="U329" s="169">
        <v>8</v>
      </c>
      <c r="V329" s="169">
        <v>0</v>
      </c>
      <c r="W329" s="169">
        <v>8</v>
      </c>
      <c r="X329" s="169">
        <f t="shared" si="54"/>
        <v>0</v>
      </c>
    </row>
    <row r="330" spans="1:24" ht="16.149999999999999" customHeight="1" x14ac:dyDescent="0.2">
      <c r="A330" s="186" t="s">
        <v>924</v>
      </c>
      <c r="B330" s="171" t="s">
        <v>1314</v>
      </c>
      <c r="C330" s="171" t="s">
        <v>203</v>
      </c>
      <c r="D330" s="165" t="s">
        <v>203</v>
      </c>
      <c r="E330" s="165" t="s">
        <v>203</v>
      </c>
      <c r="F330" s="165" t="s">
        <v>203</v>
      </c>
      <c r="G330" s="167">
        <f>584.43</f>
        <v>584.42999999999995</v>
      </c>
      <c r="H330" s="167">
        <v>0</v>
      </c>
      <c r="I330" s="167">
        <f t="shared" si="55"/>
        <v>584.42999999999995</v>
      </c>
      <c r="J330" s="167">
        <f>219.72+75+43.71+231+15</f>
        <v>584.43000000000006</v>
      </c>
      <c r="K330" s="167">
        <v>0</v>
      </c>
      <c r="L330" s="167">
        <f t="shared" si="50"/>
        <v>584.43000000000006</v>
      </c>
      <c r="M330" s="127">
        <f t="shared" si="56"/>
        <v>0</v>
      </c>
      <c r="N330" s="167">
        <f t="shared" si="57"/>
        <v>0</v>
      </c>
      <c r="O330" s="167">
        <f t="shared" si="58"/>
        <v>0</v>
      </c>
      <c r="P330" s="178" t="s">
        <v>203</v>
      </c>
      <c r="Q330" s="187"/>
      <c r="R330" s="128">
        <v>1</v>
      </c>
      <c r="S330" s="128">
        <v>1</v>
      </c>
      <c r="T330" s="169">
        <v>47</v>
      </c>
      <c r="U330" s="169">
        <v>47</v>
      </c>
      <c r="V330" s="169">
        <v>0</v>
      </c>
      <c r="W330" s="169">
        <v>47</v>
      </c>
      <c r="X330" s="169">
        <f t="shared" si="54"/>
        <v>0</v>
      </c>
    </row>
    <row r="331" spans="1:24" ht="16.149999999999999" customHeight="1" x14ac:dyDescent="0.2">
      <c r="A331" s="186" t="s">
        <v>387</v>
      </c>
      <c r="B331" s="171" t="s">
        <v>925</v>
      </c>
      <c r="C331" s="199">
        <v>42799</v>
      </c>
      <c r="D331" s="165" t="s">
        <v>489</v>
      </c>
      <c r="E331" s="165" t="s">
        <v>926</v>
      </c>
      <c r="F331" s="165" t="s">
        <v>927</v>
      </c>
      <c r="G331" s="167">
        <f>199.37+950.69+46.99+7.69+12.41+2.71</f>
        <v>1219.8600000000001</v>
      </c>
      <c r="H331" s="167">
        <v>0</v>
      </c>
      <c r="I331" s="167">
        <f t="shared" si="55"/>
        <v>1219.8600000000001</v>
      </c>
      <c r="J331" s="167">
        <f>175+185+34.7+31.55+29.36+1.5+26.7+22.75+24.43+34.42+24.75+26.08+21.32+12.03+1.42+19.58+30.18+28.73+37.6+21.76+24.74+28.11+23.57+1.5+2.59+36.83+28.25+14.08+34.22+44.64+5.71+1.2+41.54+13.29+0.77+3.98+42.05</f>
        <v>1135.9300000000003</v>
      </c>
      <c r="K331" s="167">
        <v>0</v>
      </c>
      <c r="L331" s="167">
        <f t="shared" si="50"/>
        <v>1135.9300000000003</v>
      </c>
      <c r="M331" s="127">
        <f t="shared" si="56"/>
        <v>83.929999999999836</v>
      </c>
      <c r="N331" s="167">
        <f t="shared" si="57"/>
        <v>0</v>
      </c>
      <c r="O331" s="167">
        <f t="shared" si="58"/>
        <v>83.929999999999836</v>
      </c>
      <c r="P331" s="167">
        <f>175+185+34.7+31.55+29.36+1.5+26.7+22.75+24.43+34.42+24.75+26.08+21.32+12.03+1.42+19.58+30.18+28.73+37.6+21.76+24.74+28.11+23.57+1.5+2.59+36.83+28.25+14.08+34.22+44.64+5.71+1.2+41.54+13.29+0.77+3.98+42.05</f>
        <v>1135.9300000000003</v>
      </c>
      <c r="Q331" s="187"/>
      <c r="R331" s="128">
        <v>0.95</v>
      </c>
      <c r="S331" s="128">
        <v>1</v>
      </c>
      <c r="T331" s="169">
        <v>48</v>
      </c>
      <c r="U331" s="169">
        <v>48</v>
      </c>
      <c r="V331" s="169">
        <v>0</v>
      </c>
      <c r="W331" s="169">
        <v>0</v>
      </c>
      <c r="X331" s="169">
        <f t="shared" si="54"/>
        <v>48</v>
      </c>
    </row>
    <row r="332" spans="1:24" ht="16.149999999999999" customHeight="1" x14ac:dyDescent="0.2">
      <c r="A332" s="186" t="s">
        <v>366</v>
      </c>
      <c r="B332" s="171" t="s">
        <v>367</v>
      </c>
      <c r="C332" s="169" t="s">
        <v>203</v>
      </c>
      <c r="D332" s="165" t="s">
        <v>203</v>
      </c>
      <c r="E332" s="165" t="s">
        <v>203</v>
      </c>
      <c r="F332" s="165" t="s">
        <v>203</v>
      </c>
      <c r="G332" s="167">
        <f>780.69+374.34</f>
        <v>1155.03</v>
      </c>
      <c r="H332" s="167">
        <v>0</v>
      </c>
      <c r="I332" s="167">
        <f t="shared" si="55"/>
        <v>1155.03</v>
      </c>
      <c r="J332" s="167">
        <f>756.33+339.24</f>
        <v>1095.5700000000002</v>
      </c>
      <c r="K332" s="167">
        <v>0</v>
      </c>
      <c r="L332" s="167">
        <f t="shared" si="50"/>
        <v>1095.5700000000002</v>
      </c>
      <c r="M332" s="127">
        <f t="shared" si="56"/>
        <v>59.459999999999809</v>
      </c>
      <c r="N332" s="167">
        <f t="shared" si="57"/>
        <v>0</v>
      </c>
      <c r="O332" s="167">
        <f t="shared" si="58"/>
        <v>59.459999999999809</v>
      </c>
      <c r="P332" s="178" t="s">
        <v>203</v>
      </c>
      <c r="Q332" s="187"/>
      <c r="R332" s="128">
        <v>1</v>
      </c>
      <c r="S332" s="128">
        <v>0</v>
      </c>
      <c r="T332" s="169">
        <f>66+32</f>
        <v>98</v>
      </c>
      <c r="U332" s="169">
        <f>66+32</f>
        <v>98</v>
      </c>
      <c r="V332" s="169">
        <v>5</v>
      </c>
      <c r="W332" s="169">
        <v>93</v>
      </c>
      <c r="X332" s="169">
        <f t="shared" si="54"/>
        <v>5</v>
      </c>
    </row>
    <row r="333" spans="1:24" ht="16.149999999999999" customHeight="1" x14ac:dyDescent="0.2">
      <c r="A333" s="186" t="s">
        <v>415</v>
      </c>
      <c r="B333" s="171" t="s">
        <v>367</v>
      </c>
      <c r="C333" s="169" t="s">
        <v>203</v>
      </c>
      <c r="D333" s="165" t="s">
        <v>203</v>
      </c>
      <c r="E333" s="165" t="s">
        <v>203</v>
      </c>
      <c r="F333" s="165" t="s">
        <v>203</v>
      </c>
      <c r="G333" s="167">
        <f>516.03+160.63</f>
        <v>676.66</v>
      </c>
      <c r="H333" s="167">
        <v>0</v>
      </c>
      <c r="I333" s="167">
        <f t="shared" si="55"/>
        <v>676.66</v>
      </c>
      <c r="J333" s="167">
        <f>480.96+17.53+17.53+143.1</f>
        <v>659.12</v>
      </c>
      <c r="K333" s="167">
        <v>0</v>
      </c>
      <c r="L333" s="167">
        <f t="shared" si="50"/>
        <v>659.12</v>
      </c>
      <c r="M333" s="127">
        <f t="shared" si="56"/>
        <v>17.539999999999964</v>
      </c>
      <c r="N333" s="167">
        <f t="shared" si="57"/>
        <v>0</v>
      </c>
      <c r="O333" s="167">
        <f t="shared" si="58"/>
        <v>17.539999999999964</v>
      </c>
      <c r="P333" s="178" t="s">
        <v>203</v>
      </c>
      <c r="Q333" s="187"/>
      <c r="R333" s="128">
        <v>1</v>
      </c>
      <c r="S333" s="128">
        <v>0</v>
      </c>
      <c r="T333" s="169">
        <f>29+9</f>
        <v>38</v>
      </c>
      <c r="U333" s="169">
        <f>29+9</f>
        <v>38</v>
      </c>
      <c r="V333" s="169">
        <v>1</v>
      </c>
      <c r="W333" s="169">
        <v>37</v>
      </c>
      <c r="X333" s="169">
        <f t="shared" si="54"/>
        <v>1</v>
      </c>
    </row>
    <row r="334" spans="1:24" ht="16.149999999999999" customHeight="1" x14ac:dyDescent="0.2">
      <c r="A334" s="186" t="s">
        <v>375</v>
      </c>
      <c r="B334" s="171" t="s">
        <v>1315</v>
      </c>
      <c r="C334" s="199">
        <v>42900</v>
      </c>
      <c r="D334" s="165" t="s">
        <v>556</v>
      </c>
      <c r="E334" s="165" t="s">
        <v>557</v>
      </c>
      <c r="F334" s="165" t="s">
        <v>1316</v>
      </c>
      <c r="G334" s="167">
        <f>1077.48+30.25+37.41+24.43+16.93+4.14578975</f>
        <v>1190.6457897500002</v>
      </c>
      <c r="H334" s="167">
        <v>0</v>
      </c>
      <c r="I334" s="167">
        <f t="shared" si="55"/>
        <v>1190.6457897500002</v>
      </c>
      <c r="J334" s="167">
        <f>144+57.29+30.39+39.83+27.27+23.29+27.93+31.53+31.91+59.14+58.24+2.5+6.27+45.28+103.4+23.78+58.28+51.86+25.44+3.24+1.48+44.86+24.2+32.13+18.18+23.21+11.93+0.37+4.85+16.09+49.9</f>
        <v>1078.07</v>
      </c>
      <c r="K334" s="167">
        <v>0</v>
      </c>
      <c r="L334" s="167">
        <f t="shared" si="50"/>
        <v>1078.07</v>
      </c>
      <c r="M334" s="127">
        <f t="shared" si="56"/>
        <v>112.57578975000024</v>
      </c>
      <c r="N334" s="167">
        <f t="shared" si="57"/>
        <v>0</v>
      </c>
      <c r="O334" s="167">
        <f t="shared" si="58"/>
        <v>112.57578975000024</v>
      </c>
      <c r="P334" s="167">
        <f>144+57.29+30.39+39.83+27.27+23.29+27.93+31.53+31.91+59.14+58.24+2.5+6.27+45.28+103.4+23.78+58.28+51.86+25.44+3.24+1.48+44.86+24.2+32.13+18.18+23.21+11.93+0.37+4.85+16.09+49.97</f>
        <v>1078.1399999999999</v>
      </c>
      <c r="Q334" s="187"/>
      <c r="R334" s="128">
        <v>0.95</v>
      </c>
      <c r="S334" s="128">
        <v>0.96</v>
      </c>
      <c r="T334" s="169">
        <v>59</v>
      </c>
      <c r="U334" s="169">
        <v>59</v>
      </c>
      <c r="V334" s="169">
        <v>0</v>
      </c>
      <c r="W334" s="169">
        <v>0</v>
      </c>
      <c r="X334" s="169">
        <f t="shared" si="54"/>
        <v>59</v>
      </c>
    </row>
    <row r="335" spans="1:24" ht="16.149999999999999" customHeight="1" x14ac:dyDescent="0.2">
      <c r="A335" s="186" t="s">
        <v>376</v>
      </c>
      <c r="B335" s="171">
        <v>42247</v>
      </c>
      <c r="C335" s="199">
        <v>42586</v>
      </c>
      <c r="D335" s="165" t="s">
        <v>416</v>
      </c>
      <c r="E335" s="165" t="s">
        <v>416</v>
      </c>
      <c r="F335" s="165" t="s">
        <v>416</v>
      </c>
      <c r="G335" s="167">
        <f>600.93-0.58</f>
        <v>600.34999999999991</v>
      </c>
      <c r="H335" s="167">
        <v>0</v>
      </c>
      <c r="I335" s="167">
        <f t="shared" si="55"/>
        <v>600.34999999999991</v>
      </c>
      <c r="J335" s="167">
        <f>89.09+15.23+9.24+17.6+2.48+26.46+20.46+24.42+22.81+18.3+26.95+20.29+22.03+22.47+20.79+16.43+11.51+2.48+87.64+18.09+82.21+7.13+16.24</f>
        <v>600.35</v>
      </c>
      <c r="K335" s="167">
        <v>0</v>
      </c>
      <c r="L335" s="167">
        <f t="shared" si="50"/>
        <v>600.35</v>
      </c>
      <c r="M335" s="127">
        <f t="shared" si="56"/>
        <v>0</v>
      </c>
      <c r="N335" s="167">
        <f t="shared" si="57"/>
        <v>0</v>
      </c>
      <c r="O335" s="167">
        <f t="shared" si="58"/>
        <v>0</v>
      </c>
      <c r="P335" s="178" t="s">
        <v>203</v>
      </c>
      <c r="Q335" s="187"/>
      <c r="R335" s="128">
        <v>1</v>
      </c>
      <c r="S335" s="128">
        <v>1</v>
      </c>
      <c r="T335" s="169">
        <v>37</v>
      </c>
      <c r="U335" s="169">
        <v>37</v>
      </c>
      <c r="V335" s="169">
        <v>0</v>
      </c>
      <c r="W335" s="169">
        <v>37</v>
      </c>
      <c r="X335" s="169">
        <f t="shared" si="54"/>
        <v>0</v>
      </c>
    </row>
    <row r="336" spans="1:24" ht="16.149999999999999" customHeight="1" x14ac:dyDescent="0.2">
      <c r="A336" s="186" t="s">
        <v>497</v>
      </c>
      <c r="B336" s="171" t="s">
        <v>1317</v>
      </c>
      <c r="C336" s="199"/>
      <c r="D336" s="165"/>
      <c r="E336" s="165"/>
      <c r="F336" s="165"/>
      <c r="G336" s="167">
        <v>0</v>
      </c>
      <c r="H336" s="167">
        <f>1983.93+500.16+75-75.71+119.8002695</f>
        <v>2603.1802695000001</v>
      </c>
      <c r="I336" s="167">
        <f t="shared" si="55"/>
        <v>2603.1802695000001</v>
      </c>
      <c r="J336" s="167">
        <v>0</v>
      </c>
      <c r="K336" s="167">
        <f>37.79+45.43+54.73</f>
        <v>137.94999999999999</v>
      </c>
      <c r="L336" s="167">
        <f t="shared" si="50"/>
        <v>137.94999999999999</v>
      </c>
      <c r="M336" s="127">
        <f t="shared" si="56"/>
        <v>0</v>
      </c>
      <c r="N336" s="167">
        <f t="shared" si="57"/>
        <v>2465.2302695000003</v>
      </c>
      <c r="O336" s="167">
        <f t="shared" si="58"/>
        <v>2465.2302695000003</v>
      </c>
      <c r="P336" s="178" t="s">
        <v>203</v>
      </c>
      <c r="Q336" s="187"/>
      <c r="R336" s="128">
        <v>0</v>
      </c>
      <c r="S336" s="128" t="s">
        <v>1318</v>
      </c>
      <c r="T336" s="169">
        <v>0</v>
      </c>
      <c r="U336" s="169">
        <v>362</v>
      </c>
      <c r="V336" s="169">
        <v>0</v>
      </c>
      <c r="W336" s="169">
        <v>0</v>
      </c>
      <c r="X336" s="169">
        <f t="shared" si="54"/>
        <v>0</v>
      </c>
    </row>
    <row r="337" spans="1:24" ht="16.149999999999999" customHeight="1" x14ac:dyDescent="0.2">
      <c r="A337" s="186" t="s">
        <v>388</v>
      </c>
      <c r="B337" s="171" t="s">
        <v>1319</v>
      </c>
      <c r="C337" s="199">
        <v>42985</v>
      </c>
      <c r="D337" s="165" t="s">
        <v>490</v>
      </c>
      <c r="E337" s="165" t="s">
        <v>928</v>
      </c>
      <c r="F337" s="165" t="s">
        <v>1320</v>
      </c>
      <c r="G337" s="167">
        <f>2018.47+11.26+42.17+16.08+28.03+33.25+14.01+18.9+11.6+15.32+16.77+13.16+3.93+31.53</f>
        <v>2274.4800000000005</v>
      </c>
      <c r="H337" s="167">
        <v>0</v>
      </c>
      <c r="I337" s="167">
        <f t="shared" si="55"/>
        <v>2274.4800000000005</v>
      </c>
      <c r="J337" s="167">
        <f>1630.4+36.84+4.36+1.84+30.1+42.2+64.89+48.13+107.92+10.18+9.81+5.1+11.75+21.78+4.75+0.79+15.35+32.51+11.48+11.77+6.09+13.5+1.71+0.87+1.1+13.98-4.18+4.18+0.09+12.9+1.15+1.24+8.1+6.2+1.89+1.32+2.63+1.22+1.23+1.21+1.23+1.2+1.01+1.48+8.38+1.15+1.19</f>
        <v>2194.02</v>
      </c>
      <c r="K337" s="167">
        <v>0</v>
      </c>
      <c r="L337" s="167">
        <f t="shared" si="50"/>
        <v>2194.02</v>
      </c>
      <c r="M337" s="127">
        <f t="shared" si="56"/>
        <v>80.460000000000491</v>
      </c>
      <c r="N337" s="167">
        <f t="shared" si="57"/>
        <v>0</v>
      </c>
      <c r="O337" s="167">
        <f t="shared" si="58"/>
        <v>80.460000000000491</v>
      </c>
      <c r="P337" s="167">
        <f>1630.4+36.84+4.36+1.84+30.1+42.2+64.89+48.13+107.92+10.18+9.81+5.1+11.75+21.78+4.75+0.79+15.35+32.51+11.48+11.77+6.09+13.5-1147.5+1.71-73.31+0.87+1.1+13.98-4.18+4.18+0.09-544.8-47.37+12.9+1.15+1.24-100.88+8.1+6.2+1.89-146.73+1.32-111.5+2.63+1.22+1.23+1.21+1.23+1.2+1.01+1.48+8.38+1.15+1.19</f>
        <v>21.930000000000142</v>
      </c>
      <c r="Q337" s="187"/>
      <c r="R337" s="128">
        <v>1</v>
      </c>
      <c r="S337" s="128">
        <v>1</v>
      </c>
      <c r="T337" s="169">
        <v>91</v>
      </c>
      <c r="U337" s="169">
        <v>91</v>
      </c>
      <c r="V337" s="169">
        <v>0</v>
      </c>
      <c r="W337" s="169">
        <v>91</v>
      </c>
      <c r="X337" s="169">
        <f>T337-W337</f>
        <v>0</v>
      </c>
    </row>
    <row r="338" spans="1:24" ht="16.149999999999999" customHeight="1" x14ac:dyDescent="0.2">
      <c r="A338" s="186" t="s">
        <v>404</v>
      </c>
      <c r="B338" s="171">
        <v>42548</v>
      </c>
      <c r="C338" s="169" t="s">
        <v>203</v>
      </c>
      <c r="D338" s="165" t="s">
        <v>203</v>
      </c>
      <c r="E338" s="165" t="s">
        <v>203</v>
      </c>
      <c r="F338" s="165" t="s">
        <v>203</v>
      </c>
      <c r="G338" s="167">
        <v>372.31</v>
      </c>
      <c r="H338" s="167">
        <v>0</v>
      </c>
      <c r="I338" s="167">
        <f t="shared" ref="I338:I359" si="59">G338+H338</f>
        <v>372.31</v>
      </c>
      <c r="J338" s="167">
        <f>290.65+81.66</f>
        <v>372.30999999999995</v>
      </c>
      <c r="K338" s="167">
        <v>0</v>
      </c>
      <c r="L338" s="167">
        <f t="shared" ref="L338:L346" si="60">J338+K338</f>
        <v>372.30999999999995</v>
      </c>
      <c r="M338" s="127">
        <f t="shared" ref="M338:M359" si="61">G338-J338</f>
        <v>0</v>
      </c>
      <c r="N338" s="167">
        <f t="shared" ref="N338:N359" si="62">H338-K338</f>
        <v>0</v>
      </c>
      <c r="O338" s="167">
        <f t="shared" ref="O338:O359" si="63">M338+N338</f>
        <v>0</v>
      </c>
      <c r="P338" s="178" t="s">
        <v>203</v>
      </c>
      <c r="Q338" s="187"/>
      <c r="R338" s="128">
        <v>0</v>
      </c>
      <c r="S338" s="128">
        <v>0</v>
      </c>
      <c r="T338" s="169">
        <v>37</v>
      </c>
      <c r="U338" s="169">
        <v>37</v>
      </c>
      <c r="V338" s="169">
        <v>0</v>
      </c>
      <c r="W338" s="169">
        <v>37</v>
      </c>
      <c r="X338" s="169">
        <f t="shared" si="54"/>
        <v>0</v>
      </c>
    </row>
    <row r="339" spans="1:24" ht="16.149999999999999" customHeight="1" x14ac:dyDescent="0.2">
      <c r="A339" s="186" t="s">
        <v>429</v>
      </c>
      <c r="B339" s="171">
        <v>42667</v>
      </c>
      <c r="C339" s="169" t="s">
        <v>203</v>
      </c>
      <c r="D339" s="165" t="s">
        <v>203</v>
      </c>
      <c r="E339" s="165" t="s">
        <v>203</v>
      </c>
      <c r="F339" s="165" t="s">
        <v>203</v>
      </c>
      <c r="G339" s="167">
        <v>207.5</v>
      </c>
      <c r="H339" s="167">
        <v>0</v>
      </c>
      <c r="I339" s="167">
        <f t="shared" si="59"/>
        <v>207.5</v>
      </c>
      <c r="J339" s="167">
        <f>129.81+69.17</f>
        <v>198.98000000000002</v>
      </c>
      <c r="K339" s="167">
        <v>0</v>
      </c>
      <c r="L339" s="167">
        <f t="shared" si="60"/>
        <v>198.98000000000002</v>
      </c>
      <c r="M339" s="127">
        <f t="shared" si="61"/>
        <v>8.5199999999999818</v>
      </c>
      <c r="N339" s="167">
        <f t="shared" si="62"/>
        <v>0</v>
      </c>
      <c r="O339" s="167">
        <f t="shared" si="63"/>
        <v>8.5199999999999818</v>
      </c>
      <c r="P339" s="178" t="s">
        <v>203</v>
      </c>
      <c r="Q339" s="187"/>
      <c r="R339" s="128">
        <v>0</v>
      </c>
      <c r="S339" s="128">
        <v>0</v>
      </c>
      <c r="T339" s="169">
        <v>24</v>
      </c>
      <c r="U339" s="169">
        <v>24</v>
      </c>
      <c r="V339" s="169">
        <v>1</v>
      </c>
      <c r="W339" s="169">
        <v>23</v>
      </c>
      <c r="X339" s="169">
        <f t="shared" si="54"/>
        <v>1</v>
      </c>
    </row>
    <row r="340" spans="1:24" ht="16.149999999999999" customHeight="1" x14ac:dyDescent="0.2">
      <c r="A340" s="182" t="s">
        <v>491</v>
      </c>
      <c r="B340" s="179" t="s">
        <v>492</v>
      </c>
      <c r="C340" s="171">
        <v>43231</v>
      </c>
      <c r="D340" s="165"/>
      <c r="E340" s="165" t="s">
        <v>929</v>
      </c>
      <c r="F340" s="165" t="s">
        <v>930</v>
      </c>
      <c r="G340" s="167">
        <f>1259.77+5.19</f>
        <v>1264.96</v>
      </c>
      <c r="H340" s="167">
        <v>0</v>
      </c>
      <c r="I340" s="167">
        <f t="shared" si="59"/>
        <v>1264.96</v>
      </c>
      <c r="J340" s="167">
        <f>258.77+5.9+253.95+9.71+40.95+100.61+122.4+20.69+10.57+85.72+68.64+6.29+31.47+10.01+10.76+101.33+41.15+32.69+26.46+10.52</f>
        <v>1248.5900000000001</v>
      </c>
      <c r="K340" s="167">
        <v>0</v>
      </c>
      <c r="L340" s="167">
        <f t="shared" si="60"/>
        <v>1248.5900000000001</v>
      </c>
      <c r="M340" s="127">
        <f t="shared" si="61"/>
        <v>16.369999999999891</v>
      </c>
      <c r="N340" s="167">
        <f t="shared" si="62"/>
        <v>0</v>
      </c>
      <c r="O340" s="167">
        <f t="shared" si="63"/>
        <v>16.369999999999891</v>
      </c>
      <c r="P340" s="178" t="s">
        <v>203</v>
      </c>
      <c r="Q340" s="168"/>
      <c r="R340" s="128">
        <v>1</v>
      </c>
      <c r="S340" s="128">
        <v>1</v>
      </c>
      <c r="T340" s="169">
        <v>66</v>
      </c>
      <c r="U340" s="169">
        <v>66</v>
      </c>
      <c r="V340" s="169">
        <v>0</v>
      </c>
      <c r="W340" s="169">
        <v>66</v>
      </c>
      <c r="X340" s="169">
        <v>0</v>
      </c>
    </row>
    <row r="341" spans="1:24" ht="16.149999999999999" customHeight="1" x14ac:dyDescent="0.2">
      <c r="A341" s="186" t="s">
        <v>430</v>
      </c>
      <c r="B341" s="179" t="s">
        <v>431</v>
      </c>
      <c r="C341" s="169" t="s">
        <v>203</v>
      </c>
      <c r="D341" s="165" t="s">
        <v>203</v>
      </c>
      <c r="E341" s="165" t="s">
        <v>203</v>
      </c>
      <c r="F341" s="165" t="s">
        <v>203</v>
      </c>
      <c r="G341" s="167">
        <v>875.49</v>
      </c>
      <c r="H341" s="167">
        <v>0</v>
      </c>
      <c r="I341" s="167">
        <f t="shared" si="59"/>
        <v>875.49</v>
      </c>
      <c r="J341" s="167">
        <f>712.55+137.5</f>
        <v>850.05</v>
      </c>
      <c r="K341" s="167">
        <v>0</v>
      </c>
      <c r="L341" s="167">
        <f t="shared" si="60"/>
        <v>850.05</v>
      </c>
      <c r="M341" s="127">
        <f t="shared" si="61"/>
        <v>25.440000000000055</v>
      </c>
      <c r="N341" s="167">
        <f t="shared" si="62"/>
        <v>0</v>
      </c>
      <c r="O341" s="167">
        <f t="shared" si="63"/>
        <v>25.440000000000055</v>
      </c>
      <c r="P341" s="178" t="s">
        <v>203</v>
      </c>
      <c r="Q341" s="187"/>
      <c r="R341" s="128">
        <v>1</v>
      </c>
      <c r="S341" s="128">
        <v>0</v>
      </c>
      <c r="T341" s="169">
        <v>71</v>
      </c>
      <c r="U341" s="169">
        <v>71</v>
      </c>
      <c r="V341" s="169">
        <v>71</v>
      </c>
      <c r="W341" s="169">
        <v>69</v>
      </c>
      <c r="X341" s="169">
        <f t="shared" ref="X341:X359" si="64">T341-W341</f>
        <v>2</v>
      </c>
    </row>
    <row r="342" spans="1:24" ht="16.149999999999999" customHeight="1" x14ac:dyDescent="0.2">
      <c r="A342" s="186" t="s">
        <v>493</v>
      </c>
      <c r="B342" s="179" t="s">
        <v>494</v>
      </c>
      <c r="C342" s="169"/>
      <c r="D342" s="165"/>
      <c r="E342" s="165"/>
      <c r="F342" s="165"/>
      <c r="G342" s="167">
        <f>75.15-0.36</f>
        <v>74.790000000000006</v>
      </c>
      <c r="H342" s="167">
        <v>0</v>
      </c>
      <c r="I342" s="167">
        <f t="shared" si="59"/>
        <v>74.790000000000006</v>
      </c>
      <c r="J342" s="167">
        <f>56.06+9.39+9.34</f>
        <v>74.790000000000006</v>
      </c>
      <c r="K342" s="167">
        <v>0</v>
      </c>
      <c r="L342" s="167">
        <f t="shared" si="60"/>
        <v>74.790000000000006</v>
      </c>
      <c r="M342" s="127">
        <f t="shared" si="61"/>
        <v>0</v>
      </c>
      <c r="N342" s="167">
        <f t="shared" si="62"/>
        <v>0</v>
      </c>
      <c r="O342" s="167">
        <f t="shared" si="63"/>
        <v>0</v>
      </c>
      <c r="P342" s="178" t="s">
        <v>203</v>
      </c>
      <c r="Q342" s="187"/>
      <c r="R342" s="128">
        <v>1</v>
      </c>
      <c r="S342" s="128">
        <v>0</v>
      </c>
      <c r="T342" s="169">
        <v>8</v>
      </c>
      <c r="U342" s="169">
        <v>8</v>
      </c>
      <c r="V342" s="169">
        <v>0</v>
      </c>
      <c r="W342" s="169">
        <v>8</v>
      </c>
      <c r="X342" s="169">
        <f t="shared" si="64"/>
        <v>0</v>
      </c>
    </row>
    <row r="343" spans="1:24" ht="16.149999999999999" customHeight="1" x14ac:dyDescent="0.2">
      <c r="A343" s="186" t="s">
        <v>495</v>
      </c>
      <c r="B343" s="179" t="s">
        <v>559</v>
      </c>
      <c r="C343" s="169" t="s">
        <v>203</v>
      </c>
      <c r="D343" s="165" t="s">
        <v>203</v>
      </c>
      <c r="E343" s="165" t="s">
        <v>203</v>
      </c>
      <c r="F343" s="165" t="s">
        <v>203</v>
      </c>
      <c r="G343" s="167">
        <f>878.28+1134.36+611.6+623.76</f>
        <v>3248</v>
      </c>
      <c r="H343" s="167">
        <v>0</v>
      </c>
      <c r="I343" s="167">
        <f t="shared" si="59"/>
        <v>3248</v>
      </c>
      <c r="J343" s="167">
        <f>843.18+23.4+975.9+24.73+719.9+12.72+11.7+575+36.75</f>
        <v>3223.2799999999997</v>
      </c>
      <c r="K343" s="167">
        <v>0</v>
      </c>
      <c r="L343" s="167">
        <f t="shared" si="60"/>
        <v>3223.2799999999997</v>
      </c>
      <c r="M343" s="127">
        <f t="shared" si="61"/>
        <v>24.720000000000255</v>
      </c>
      <c r="N343" s="167">
        <f t="shared" si="62"/>
        <v>0</v>
      </c>
      <c r="O343" s="167">
        <f t="shared" si="63"/>
        <v>24.720000000000255</v>
      </c>
      <c r="P343" s="178" t="s">
        <v>203</v>
      </c>
      <c r="Q343" s="187"/>
      <c r="R343" s="128">
        <v>1</v>
      </c>
      <c r="S343" s="128">
        <v>0</v>
      </c>
      <c r="T343" s="169">
        <f>74+93+51+52</f>
        <v>270</v>
      </c>
      <c r="U343" s="169">
        <v>270</v>
      </c>
      <c r="V343" s="169">
        <v>2</v>
      </c>
      <c r="W343" s="169">
        <v>268</v>
      </c>
      <c r="X343" s="169">
        <f t="shared" si="64"/>
        <v>2</v>
      </c>
    </row>
    <row r="344" spans="1:24" ht="16.149999999999999" customHeight="1" x14ac:dyDescent="0.2">
      <c r="A344" s="186" t="s">
        <v>560</v>
      </c>
      <c r="B344" s="171" t="s">
        <v>931</v>
      </c>
      <c r="C344" s="199">
        <v>43724</v>
      </c>
      <c r="D344" s="165" t="s">
        <v>932</v>
      </c>
      <c r="E344" s="165" t="s">
        <v>933</v>
      </c>
      <c r="F344" s="165" t="s">
        <v>1321</v>
      </c>
      <c r="G344" s="167">
        <f>1754.19+1.94+1.08289096+0.05063172+0.08+25.29+0.031+0.15+0.18+0.019+0.5567295</f>
        <v>1783.5702521800001</v>
      </c>
      <c r="H344" s="167">
        <v>0</v>
      </c>
      <c r="I344" s="167">
        <f t="shared" si="59"/>
        <v>1783.5702521800001</v>
      </c>
      <c r="J344" s="167">
        <f>136.83+158.86+251.98+168.9+223.01+246.47+144.62+138.33+70.91+39.46+75+3.02+16.87+30.13+0.32+1.03+14.5+5.26</f>
        <v>1725.5</v>
      </c>
      <c r="K344" s="167">
        <v>0</v>
      </c>
      <c r="L344" s="167">
        <f t="shared" si="60"/>
        <v>1725.5</v>
      </c>
      <c r="M344" s="127">
        <f t="shared" si="61"/>
        <v>58.070252180000125</v>
      </c>
      <c r="N344" s="167">
        <f t="shared" si="62"/>
        <v>0</v>
      </c>
      <c r="O344" s="167">
        <f t="shared" si="63"/>
        <v>58.070252180000125</v>
      </c>
      <c r="P344" s="167">
        <f>136.83+158.86+251.98+168.9+223.01+246.47+144.62+138.33+70.91+39.46+75+3.02+16.87+30.13+0.32+1.03-1145.49+14.5-291.4-121.86+5.26-118.45-42.98</f>
        <v>5.32</v>
      </c>
      <c r="Q344" s="187"/>
      <c r="R344" s="128">
        <v>0.93920000000000003</v>
      </c>
      <c r="S344" s="128">
        <v>1</v>
      </c>
      <c r="T344" s="169">
        <v>86</v>
      </c>
      <c r="U344" s="169">
        <v>86</v>
      </c>
      <c r="V344" s="169">
        <v>2</v>
      </c>
      <c r="W344" s="169">
        <v>83</v>
      </c>
      <c r="X344" s="169">
        <f t="shared" si="64"/>
        <v>3</v>
      </c>
    </row>
    <row r="345" spans="1:24" ht="16.149999999999999" customHeight="1" x14ac:dyDescent="0.2">
      <c r="A345" s="173" t="s">
        <v>561</v>
      </c>
      <c r="B345" s="179" t="s">
        <v>562</v>
      </c>
      <c r="C345" s="169" t="s">
        <v>203</v>
      </c>
      <c r="D345" s="165" t="s">
        <v>203</v>
      </c>
      <c r="E345" s="165" t="s">
        <v>203</v>
      </c>
      <c r="F345" s="165" t="s">
        <v>203</v>
      </c>
      <c r="G345" s="167">
        <f>258.55-0.063+11.71</f>
        <v>270.197</v>
      </c>
      <c r="H345" s="167">
        <v>0</v>
      </c>
      <c r="I345" s="167">
        <f t="shared" si="59"/>
        <v>270.197</v>
      </c>
      <c r="J345" s="167">
        <f>235.08+35.12</f>
        <v>270.2</v>
      </c>
      <c r="K345" s="167">
        <v>0</v>
      </c>
      <c r="L345" s="167">
        <f t="shared" si="60"/>
        <v>270.2</v>
      </c>
      <c r="M345" s="127">
        <f t="shared" si="61"/>
        <v>-2.9999999999859028E-3</v>
      </c>
      <c r="N345" s="167">
        <f t="shared" si="62"/>
        <v>0</v>
      </c>
      <c r="O345" s="167">
        <f t="shared" si="63"/>
        <v>-2.9999999999859028E-3</v>
      </c>
      <c r="P345" s="178" t="s">
        <v>203</v>
      </c>
      <c r="Q345" s="187"/>
      <c r="R345" s="128">
        <v>1</v>
      </c>
      <c r="S345" s="128">
        <v>0</v>
      </c>
      <c r="T345" s="169">
        <f>22+1</f>
        <v>23</v>
      </c>
      <c r="U345" s="169">
        <f>22+1</f>
        <v>23</v>
      </c>
      <c r="V345" s="169">
        <v>0</v>
      </c>
      <c r="W345" s="169">
        <v>23</v>
      </c>
      <c r="X345" s="169">
        <f t="shared" si="64"/>
        <v>0</v>
      </c>
    </row>
    <row r="346" spans="1:24" ht="16.149999999999999" customHeight="1" x14ac:dyDescent="0.2">
      <c r="A346" s="186" t="s">
        <v>934</v>
      </c>
      <c r="B346" s="171" t="s">
        <v>935</v>
      </c>
      <c r="C346" s="199">
        <v>44634</v>
      </c>
      <c r="D346" s="165"/>
      <c r="E346" s="165"/>
      <c r="F346" s="165"/>
      <c r="G346" s="167">
        <v>2347.1</v>
      </c>
      <c r="H346" s="167">
        <v>0</v>
      </c>
      <c r="I346" s="167">
        <f t="shared" si="59"/>
        <v>2347.1</v>
      </c>
      <c r="J346" s="167">
        <f>150.75+41.31+137.86+86.46+60.69+98.35+63.86+60.26+8.8+77.14+101.03+0.07+98.82+54.61+54.04+136.16+122.88+140.04+45.64+67.57+7.06+93.86+94.25+63.48+3.73+85.58+0.39+1.3+38.3+5.8+16.91+6.21+4.82+8.26+8.26+26.17+11.44+5.35+4.64+0.71+46.54+4.64</f>
        <v>2144.0399999999991</v>
      </c>
      <c r="K346" s="167">
        <v>0</v>
      </c>
      <c r="L346" s="167">
        <f t="shared" si="60"/>
        <v>2144.0399999999991</v>
      </c>
      <c r="M346" s="127">
        <f t="shared" si="61"/>
        <v>203.06000000000085</v>
      </c>
      <c r="N346" s="167">
        <f t="shared" si="62"/>
        <v>0</v>
      </c>
      <c r="O346" s="167">
        <f t="shared" si="63"/>
        <v>203.06000000000085</v>
      </c>
      <c r="P346" s="167">
        <f>150.75+41.31+137.86+86.46+60.69+98.35+63.86+60.26+8.8+77.14+101.03+0.07+98.82+54.61+54.04+136.16+122.88+140.04+45.64+67.57+7.06+93.86+94.25+63.48+3.73+85.58+0.39+1.3+38.3+5.8+16.91+6.21+4.82+8.26+8.26+26.17+11.44+5.35+4.64+0.71+46.54+4.64</f>
        <v>2144.0399999999991</v>
      </c>
      <c r="Q346" s="187"/>
      <c r="R346" s="128">
        <v>0.88039999999999996</v>
      </c>
      <c r="S346" s="128">
        <v>1</v>
      </c>
      <c r="T346" s="169">
        <v>95</v>
      </c>
      <c r="U346" s="169">
        <v>95</v>
      </c>
      <c r="V346" s="169">
        <v>0</v>
      </c>
      <c r="W346" s="169">
        <v>0</v>
      </c>
      <c r="X346" s="169">
        <f t="shared" si="64"/>
        <v>95</v>
      </c>
    </row>
    <row r="347" spans="1:24" ht="16.149999999999999" customHeight="1" x14ac:dyDescent="0.2">
      <c r="A347" s="173" t="s">
        <v>936</v>
      </c>
      <c r="B347" s="179" t="s">
        <v>937</v>
      </c>
      <c r="C347" s="169" t="s">
        <v>203</v>
      </c>
      <c r="D347" s="165" t="s">
        <v>203</v>
      </c>
      <c r="E347" s="165" t="s">
        <v>203</v>
      </c>
      <c r="F347" s="165" t="s">
        <v>203</v>
      </c>
      <c r="G347" s="167">
        <f>768.58+0.96386311</f>
        <v>769.54386311000007</v>
      </c>
      <c r="H347" s="167">
        <v>0</v>
      </c>
      <c r="I347" s="167">
        <f t="shared" si="59"/>
        <v>769.54386311000007</v>
      </c>
      <c r="J347" s="167">
        <v>769.54</v>
      </c>
      <c r="K347" s="167">
        <v>0</v>
      </c>
      <c r="L347" s="167">
        <f>J347+K347</f>
        <v>769.54</v>
      </c>
      <c r="M347" s="127">
        <f t="shared" si="61"/>
        <v>3.8631100001111918E-3</v>
      </c>
      <c r="N347" s="167">
        <f t="shared" si="62"/>
        <v>0</v>
      </c>
      <c r="O347" s="167">
        <f t="shared" si="63"/>
        <v>3.8631100001111918E-3</v>
      </c>
      <c r="P347" s="178" t="s">
        <v>203</v>
      </c>
      <c r="Q347" s="187"/>
      <c r="R347" s="128">
        <v>1</v>
      </c>
      <c r="S347" s="128">
        <v>0</v>
      </c>
      <c r="T347" s="169">
        <v>60</v>
      </c>
      <c r="U347" s="169">
        <v>60</v>
      </c>
      <c r="V347" s="169">
        <v>60</v>
      </c>
      <c r="W347" s="169">
        <v>60</v>
      </c>
      <c r="X347" s="169">
        <f t="shared" si="64"/>
        <v>0</v>
      </c>
    </row>
    <row r="348" spans="1:24" ht="16.149999999999999" customHeight="1" x14ac:dyDescent="0.2">
      <c r="A348" s="173" t="s">
        <v>938</v>
      </c>
      <c r="B348" s="179" t="s">
        <v>937</v>
      </c>
      <c r="C348" s="169" t="s">
        <v>203</v>
      </c>
      <c r="D348" s="165" t="s">
        <v>203</v>
      </c>
      <c r="E348" s="165" t="s">
        <v>203</v>
      </c>
      <c r="F348" s="165" t="s">
        <v>203</v>
      </c>
      <c r="G348" s="167">
        <f>206.18+0.25822438</f>
        <v>206.43822438000001</v>
      </c>
      <c r="H348" s="167">
        <v>0</v>
      </c>
      <c r="I348" s="167">
        <f t="shared" si="59"/>
        <v>206.43822438000001</v>
      </c>
      <c r="J348" s="167">
        <f>193.66+12.77</f>
        <v>206.43</v>
      </c>
      <c r="K348" s="167">
        <v>0</v>
      </c>
      <c r="L348" s="167">
        <f>J348+K348</f>
        <v>206.43</v>
      </c>
      <c r="M348" s="127">
        <f t="shared" si="61"/>
        <v>8.2243800000014744E-3</v>
      </c>
      <c r="N348" s="167">
        <f t="shared" si="62"/>
        <v>0</v>
      </c>
      <c r="O348" s="167">
        <f t="shared" si="63"/>
        <v>8.2243800000014744E-3</v>
      </c>
      <c r="P348" s="178" t="s">
        <v>203</v>
      </c>
      <c r="Q348" s="187"/>
      <c r="R348" s="128">
        <v>1</v>
      </c>
      <c r="S348" s="128">
        <v>0</v>
      </c>
      <c r="T348" s="169">
        <v>16</v>
      </c>
      <c r="U348" s="169">
        <v>16</v>
      </c>
      <c r="V348" s="169">
        <v>0</v>
      </c>
      <c r="W348" s="169">
        <v>16</v>
      </c>
      <c r="X348" s="169">
        <f t="shared" si="64"/>
        <v>0</v>
      </c>
    </row>
    <row r="349" spans="1:24" ht="16.149999999999999" customHeight="1" x14ac:dyDescent="0.2">
      <c r="A349" s="173" t="s">
        <v>939</v>
      </c>
      <c r="B349" s="179" t="s">
        <v>940</v>
      </c>
      <c r="C349" s="169" t="s">
        <v>203</v>
      </c>
      <c r="D349" s="165" t="s">
        <v>203</v>
      </c>
      <c r="E349" s="165" t="s">
        <v>203</v>
      </c>
      <c r="F349" s="165" t="s">
        <v>203</v>
      </c>
      <c r="G349" s="167">
        <f>600.81+0.57814085</f>
        <v>601.3881408499999</v>
      </c>
      <c r="H349" s="167">
        <v>0</v>
      </c>
      <c r="I349" s="167">
        <f t="shared" si="59"/>
        <v>601.3881408499999</v>
      </c>
      <c r="J349" s="167">
        <f>160.38+11.26+418.49</f>
        <v>590.13</v>
      </c>
      <c r="K349" s="167">
        <v>0</v>
      </c>
      <c r="L349" s="167">
        <f t="shared" ref="L349:L359" si="65">J349+K349</f>
        <v>590.13</v>
      </c>
      <c r="M349" s="127">
        <f t="shared" si="61"/>
        <v>11.258140849999904</v>
      </c>
      <c r="N349" s="167">
        <f t="shared" si="62"/>
        <v>0</v>
      </c>
      <c r="O349" s="167">
        <f t="shared" si="63"/>
        <v>11.258140849999904</v>
      </c>
      <c r="P349" s="178" t="s">
        <v>203</v>
      </c>
      <c r="Q349" s="187"/>
      <c r="R349" s="128">
        <v>1</v>
      </c>
      <c r="S349" s="128">
        <v>0</v>
      </c>
      <c r="T349" s="169">
        <v>53</v>
      </c>
      <c r="U349" s="169">
        <v>53</v>
      </c>
      <c r="V349" s="169">
        <v>1</v>
      </c>
      <c r="W349" s="169">
        <v>52</v>
      </c>
      <c r="X349" s="169">
        <f t="shared" si="64"/>
        <v>1</v>
      </c>
    </row>
    <row r="350" spans="1:24" ht="16.149999999999999" customHeight="1" x14ac:dyDescent="0.2">
      <c r="A350" s="173" t="s">
        <v>941</v>
      </c>
      <c r="B350" s="179" t="s">
        <v>1322</v>
      </c>
      <c r="C350" s="169" t="s">
        <v>203</v>
      </c>
      <c r="D350" s="165" t="s">
        <v>203</v>
      </c>
      <c r="E350" s="165" t="s">
        <v>203</v>
      </c>
      <c r="F350" s="165" t="s">
        <v>203</v>
      </c>
      <c r="G350" s="167">
        <f>423.53+0.84+36.19</f>
        <v>460.55999999999995</v>
      </c>
      <c r="H350" s="167">
        <v>0</v>
      </c>
      <c r="I350" s="167">
        <f t="shared" si="59"/>
        <v>460.55999999999995</v>
      </c>
      <c r="J350" s="167">
        <f>411.6+12.77+36.19</f>
        <v>460.56</v>
      </c>
      <c r="K350" s="167">
        <v>0</v>
      </c>
      <c r="L350" s="167">
        <f t="shared" si="65"/>
        <v>460.56</v>
      </c>
      <c r="M350" s="127">
        <f t="shared" si="61"/>
        <v>0</v>
      </c>
      <c r="N350" s="167">
        <f t="shared" si="62"/>
        <v>0</v>
      </c>
      <c r="O350" s="167">
        <f t="shared" si="63"/>
        <v>0</v>
      </c>
      <c r="P350" s="178" t="s">
        <v>203</v>
      </c>
      <c r="Q350" s="187"/>
      <c r="R350" s="128">
        <v>1</v>
      </c>
      <c r="S350" s="128">
        <v>0</v>
      </c>
      <c r="T350" s="169">
        <v>33</v>
      </c>
      <c r="U350" s="169">
        <v>33</v>
      </c>
      <c r="V350" s="169">
        <v>0</v>
      </c>
      <c r="W350" s="169">
        <v>33</v>
      </c>
      <c r="X350" s="169">
        <f t="shared" si="64"/>
        <v>0</v>
      </c>
    </row>
    <row r="351" spans="1:24" ht="16.149999999999999" customHeight="1" x14ac:dyDescent="0.2">
      <c r="A351" s="173" t="s">
        <v>942</v>
      </c>
      <c r="B351" s="179" t="s">
        <v>1323</v>
      </c>
      <c r="C351" s="169" t="s">
        <v>203</v>
      </c>
      <c r="D351" s="165" t="s">
        <v>203</v>
      </c>
      <c r="E351" s="165" t="s">
        <v>203</v>
      </c>
      <c r="F351" s="165" t="s">
        <v>203</v>
      </c>
      <c r="G351" s="167">
        <f>359.69+30.71</f>
        <v>390.4</v>
      </c>
      <c r="H351" s="167">
        <v>0</v>
      </c>
      <c r="I351" s="167">
        <f t="shared" si="59"/>
        <v>390.4</v>
      </c>
      <c r="J351" s="167">
        <f>346.96+12.73+30.71</f>
        <v>390.4</v>
      </c>
      <c r="K351" s="167">
        <v>0</v>
      </c>
      <c r="L351" s="167">
        <f t="shared" si="65"/>
        <v>390.4</v>
      </c>
      <c r="M351" s="127">
        <f t="shared" si="61"/>
        <v>0</v>
      </c>
      <c r="N351" s="167">
        <f t="shared" si="62"/>
        <v>0</v>
      </c>
      <c r="O351" s="167">
        <f t="shared" si="63"/>
        <v>0</v>
      </c>
      <c r="P351" s="178" t="s">
        <v>203</v>
      </c>
      <c r="Q351" s="187"/>
      <c r="R351" s="128">
        <v>1</v>
      </c>
      <c r="S351" s="128">
        <v>0</v>
      </c>
      <c r="T351" s="169">
        <v>28</v>
      </c>
      <c r="U351" s="169">
        <v>28</v>
      </c>
      <c r="V351" s="169">
        <v>28</v>
      </c>
      <c r="W351" s="169">
        <v>28</v>
      </c>
      <c r="X351" s="169">
        <f t="shared" si="64"/>
        <v>0</v>
      </c>
    </row>
    <row r="352" spans="1:24" ht="16.149999999999999" customHeight="1" x14ac:dyDescent="0.2">
      <c r="A352" s="173" t="s">
        <v>943</v>
      </c>
      <c r="B352" s="179" t="s">
        <v>944</v>
      </c>
      <c r="C352" s="169" t="s">
        <v>203</v>
      </c>
      <c r="D352" s="165" t="s">
        <v>203</v>
      </c>
      <c r="E352" s="165" t="s">
        <v>203</v>
      </c>
      <c r="F352" s="165" t="s">
        <v>203</v>
      </c>
      <c r="G352" s="167">
        <v>528.30999999999995</v>
      </c>
      <c r="H352" s="167">
        <v>0</v>
      </c>
      <c r="I352" s="167">
        <f t="shared" si="59"/>
        <v>528.30999999999995</v>
      </c>
      <c r="J352" s="167">
        <v>528.30999999999995</v>
      </c>
      <c r="K352" s="167">
        <v>0</v>
      </c>
      <c r="L352" s="167">
        <f t="shared" si="65"/>
        <v>528.30999999999995</v>
      </c>
      <c r="M352" s="127">
        <f t="shared" si="61"/>
        <v>0</v>
      </c>
      <c r="N352" s="167">
        <f t="shared" si="62"/>
        <v>0</v>
      </c>
      <c r="O352" s="167">
        <f t="shared" si="63"/>
        <v>0</v>
      </c>
      <c r="P352" s="178" t="s">
        <v>203</v>
      </c>
      <c r="Q352" s="187"/>
      <c r="R352" s="128">
        <v>1</v>
      </c>
      <c r="S352" s="128">
        <v>0</v>
      </c>
      <c r="T352" s="169">
        <v>47</v>
      </c>
      <c r="U352" s="169">
        <v>47</v>
      </c>
      <c r="V352" s="169">
        <v>0</v>
      </c>
      <c r="W352" s="169">
        <v>47</v>
      </c>
      <c r="X352" s="169">
        <f t="shared" si="64"/>
        <v>0</v>
      </c>
    </row>
    <row r="353" spans="1:24" ht="16.149999999999999" customHeight="1" x14ac:dyDescent="0.2">
      <c r="A353" s="173" t="s">
        <v>945</v>
      </c>
      <c r="B353" s="179" t="s">
        <v>1324</v>
      </c>
      <c r="C353" s="169" t="s">
        <v>203</v>
      </c>
      <c r="D353" s="165" t="s">
        <v>203</v>
      </c>
      <c r="E353" s="165" t="s">
        <v>203</v>
      </c>
      <c r="F353" s="165" t="s">
        <v>203</v>
      </c>
      <c r="G353" s="167">
        <f>1091.23+93.22</f>
        <v>1184.45</v>
      </c>
      <c r="H353" s="167">
        <v>0</v>
      </c>
      <c r="I353" s="167">
        <f t="shared" si="59"/>
        <v>1184.45</v>
      </c>
      <c r="J353" s="167">
        <f>1078.49+88.84+3.29</f>
        <v>1170.6199999999999</v>
      </c>
      <c r="K353" s="167">
        <v>0</v>
      </c>
      <c r="L353" s="167">
        <f t="shared" si="65"/>
        <v>1170.6199999999999</v>
      </c>
      <c r="M353" s="127">
        <f t="shared" si="61"/>
        <v>13.830000000000155</v>
      </c>
      <c r="N353" s="167">
        <f t="shared" si="62"/>
        <v>0</v>
      </c>
      <c r="O353" s="167">
        <f t="shared" si="63"/>
        <v>13.830000000000155</v>
      </c>
      <c r="P353" s="178" t="s">
        <v>203</v>
      </c>
      <c r="Q353" s="187"/>
      <c r="R353" s="128">
        <v>1</v>
      </c>
      <c r="S353" s="128">
        <v>0</v>
      </c>
      <c r="T353" s="169">
        <v>85</v>
      </c>
      <c r="U353" s="169">
        <v>85</v>
      </c>
      <c r="V353" s="169">
        <v>1</v>
      </c>
      <c r="W353" s="169">
        <v>84</v>
      </c>
      <c r="X353" s="169">
        <f t="shared" si="64"/>
        <v>1</v>
      </c>
    </row>
    <row r="354" spans="1:24" ht="16.149999999999999" customHeight="1" x14ac:dyDescent="0.2">
      <c r="A354" s="173" t="s">
        <v>1325</v>
      </c>
      <c r="B354" s="179" t="s">
        <v>1326</v>
      </c>
      <c r="C354" s="169" t="s">
        <v>203</v>
      </c>
      <c r="D354" s="165" t="s">
        <v>203</v>
      </c>
      <c r="E354" s="165" t="s">
        <v>203</v>
      </c>
      <c r="F354" s="165" t="s">
        <v>203</v>
      </c>
      <c r="G354" s="167">
        <v>306.67326480999998</v>
      </c>
      <c r="H354" s="167">
        <v>0</v>
      </c>
      <c r="I354" s="167">
        <f t="shared" si="59"/>
        <v>306.67326480999998</v>
      </c>
      <c r="J354" s="167">
        <v>306.67</v>
      </c>
      <c r="K354" s="167">
        <v>0</v>
      </c>
      <c r="L354" s="167">
        <f t="shared" si="65"/>
        <v>306.67</v>
      </c>
      <c r="M354" s="127">
        <f t="shared" si="61"/>
        <v>3.2648099999619262E-3</v>
      </c>
      <c r="N354" s="167">
        <f t="shared" si="62"/>
        <v>0</v>
      </c>
      <c r="O354" s="167">
        <f t="shared" si="63"/>
        <v>3.2648099999619262E-3</v>
      </c>
      <c r="P354" s="178" t="s">
        <v>203</v>
      </c>
      <c r="Q354" s="187"/>
      <c r="R354" s="128">
        <v>1</v>
      </c>
      <c r="S354" s="128">
        <v>0</v>
      </c>
      <c r="T354" s="169">
        <v>23</v>
      </c>
      <c r="U354" s="169">
        <v>23</v>
      </c>
      <c r="V354" s="169">
        <v>0</v>
      </c>
      <c r="W354" s="169">
        <v>23</v>
      </c>
      <c r="X354" s="169">
        <f t="shared" si="64"/>
        <v>0</v>
      </c>
    </row>
    <row r="355" spans="1:24" ht="16.149999999999999" customHeight="1" x14ac:dyDescent="0.2">
      <c r="A355" s="173" t="s">
        <v>1327</v>
      </c>
      <c r="B355" s="179" t="s">
        <v>1328</v>
      </c>
      <c r="C355" s="169" t="s">
        <v>203</v>
      </c>
      <c r="D355" s="165" t="s">
        <v>203</v>
      </c>
      <c r="E355" s="165" t="s">
        <v>203</v>
      </c>
      <c r="F355" s="165" t="s">
        <v>203</v>
      </c>
      <c r="G355" s="167">
        <v>522.32475118000002</v>
      </c>
      <c r="H355" s="167">
        <v>0</v>
      </c>
      <c r="I355" s="167">
        <f t="shared" si="59"/>
        <v>522.32475118000002</v>
      </c>
      <c r="J355" s="167">
        <v>508.14876743999997</v>
      </c>
      <c r="K355" s="167">
        <v>0</v>
      </c>
      <c r="L355" s="167">
        <f t="shared" si="65"/>
        <v>508.14876743999997</v>
      </c>
      <c r="M355" s="127">
        <f t="shared" si="61"/>
        <v>14.175983740000049</v>
      </c>
      <c r="N355" s="167">
        <f t="shared" si="62"/>
        <v>0</v>
      </c>
      <c r="O355" s="167">
        <f t="shared" si="63"/>
        <v>14.175983740000049</v>
      </c>
      <c r="P355" s="178" t="s">
        <v>203</v>
      </c>
      <c r="Q355" s="187"/>
      <c r="R355" s="128">
        <v>1</v>
      </c>
      <c r="S355" s="128">
        <v>0</v>
      </c>
      <c r="T355" s="169">
        <v>39</v>
      </c>
      <c r="U355" s="169">
        <v>39</v>
      </c>
      <c r="V355" s="169">
        <v>1</v>
      </c>
      <c r="W355" s="169">
        <v>38</v>
      </c>
      <c r="X355" s="169">
        <f t="shared" si="64"/>
        <v>1</v>
      </c>
    </row>
    <row r="356" spans="1:24" ht="16.149999999999999" customHeight="1" x14ac:dyDescent="0.2">
      <c r="A356" s="173" t="s">
        <v>1329</v>
      </c>
      <c r="B356" s="179" t="s">
        <v>1328</v>
      </c>
      <c r="C356" s="169" t="s">
        <v>203</v>
      </c>
      <c r="D356" s="165" t="s">
        <v>203</v>
      </c>
      <c r="E356" s="165" t="s">
        <v>203</v>
      </c>
      <c r="F356" s="165" t="s">
        <v>203</v>
      </c>
      <c r="G356" s="167">
        <v>1048.92019018</v>
      </c>
      <c r="H356" s="167">
        <v>0</v>
      </c>
      <c r="I356" s="167">
        <f t="shared" si="59"/>
        <v>1048.92019018</v>
      </c>
      <c r="J356" s="167">
        <v>933.61</v>
      </c>
      <c r="K356" s="167">
        <v>0</v>
      </c>
      <c r="L356" s="167">
        <f t="shared" si="65"/>
        <v>933.61</v>
      </c>
      <c r="M356" s="127">
        <f t="shared" si="61"/>
        <v>115.31019017999995</v>
      </c>
      <c r="N356" s="167">
        <f t="shared" si="62"/>
        <v>0</v>
      </c>
      <c r="O356" s="167">
        <f t="shared" si="63"/>
        <v>115.31019017999995</v>
      </c>
      <c r="P356" s="178" t="s">
        <v>203</v>
      </c>
      <c r="Q356" s="187"/>
      <c r="R356" s="128">
        <v>1</v>
      </c>
      <c r="S356" s="128">
        <v>0</v>
      </c>
      <c r="T356" s="169">
        <v>72</v>
      </c>
      <c r="U356" s="169">
        <v>72</v>
      </c>
      <c r="V356" s="169">
        <v>4</v>
      </c>
      <c r="W356" s="169">
        <v>64</v>
      </c>
      <c r="X356" s="169">
        <f t="shared" si="64"/>
        <v>8</v>
      </c>
    </row>
    <row r="357" spans="1:24" ht="16.149999999999999" customHeight="1" x14ac:dyDescent="0.2">
      <c r="A357" s="182" t="s">
        <v>1330</v>
      </c>
      <c r="B357" s="179" t="s">
        <v>1331</v>
      </c>
      <c r="C357" s="171"/>
      <c r="D357" s="165"/>
      <c r="E357" s="165"/>
      <c r="F357" s="165"/>
      <c r="G357" s="167">
        <v>311.86109762000001</v>
      </c>
      <c r="H357" s="167">
        <v>0</v>
      </c>
      <c r="I357" s="167">
        <f t="shared" si="59"/>
        <v>311.86109762000001</v>
      </c>
      <c r="J357" s="167">
        <v>0</v>
      </c>
      <c r="K357" s="167">
        <v>0</v>
      </c>
      <c r="L357" s="167">
        <f t="shared" si="65"/>
        <v>0</v>
      </c>
      <c r="M357" s="127">
        <f t="shared" si="61"/>
        <v>311.86109762000001</v>
      </c>
      <c r="N357" s="167">
        <f t="shared" si="62"/>
        <v>0</v>
      </c>
      <c r="O357" s="167">
        <f t="shared" si="63"/>
        <v>311.86109762000001</v>
      </c>
      <c r="P357" s="178" t="s">
        <v>203</v>
      </c>
      <c r="Q357" s="168"/>
      <c r="R357" s="128">
        <v>1</v>
      </c>
      <c r="S357" s="128">
        <v>0</v>
      </c>
      <c r="T357" s="169">
        <v>18</v>
      </c>
      <c r="U357" s="169">
        <v>18</v>
      </c>
      <c r="V357" s="169">
        <v>0</v>
      </c>
      <c r="W357" s="169">
        <v>0</v>
      </c>
      <c r="X357" s="169">
        <f t="shared" si="64"/>
        <v>18</v>
      </c>
    </row>
    <row r="358" spans="1:24" ht="16.149999999999999" customHeight="1" x14ac:dyDescent="0.2">
      <c r="A358" s="173" t="s">
        <v>1332</v>
      </c>
      <c r="B358" s="179" t="s">
        <v>1333</v>
      </c>
      <c r="C358" s="169" t="s">
        <v>203</v>
      </c>
      <c r="D358" s="165" t="s">
        <v>203</v>
      </c>
      <c r="E358" s="165" t="s">
        <v>203</v>
      </c>
      <c r="F358" s="165" t="s">
        <v>203</v>
      </c>
      <c r="G358" s="167">
        <v>680.06566550000002</v>
      </c>
      <c r="H358" s="167">
        <v>0</v>
      </c>
      <c r="I358" s="167">
        <f t="shared" si="59"/>
        <v>680.06566550000002</v>
      </c>
      <c r="J358" s="167">
        <v>0</v>
      </c>
      <c r="K358" s="167">
        <v>0</v>
      </c>
      <c r="L358" s="167">
        <f t="shared" si="65"/>
        <v>0</v>
      </c>
      <c r="M358" s="127">
        <f t="shared" si="61"/>
        <v>680.06566550000002</v>
      </c>
      <c r="N358" s="167">
        <f t="shared" si="62"/>
        <v>0</v>
      </c>
      <c r="O358" s="167">
        <f t="shared" si="63"/>
        <v>680.06566550000002</v>
      </c>
      <c r="P358" s="178" t="s">
        <v>203</v>
      </c>
      <c r="Q358" s="187"/>
      <c r="R358" s="128">
        <v>1</v>
      </c>
      <c r="S358" s="128">
        <v>0</v>
      </c>
      <c r="T358" s="169">
        <v>51</v>
      </c>
      <c r="U358" s="169">
        <v>51</v>
      </c>
      <c r="V358" s="169">
        <v>0</v>
      </c>
      <c r="W358" s="169">
        <v>0</v>
      </c>
      <c r="X358" s="169">
        <f t="shared" si="64"/>
        <v>51</v>
      </c>
    </row>
    <row r="359" spans="1:24" ht="16.149999999999999" customHeight="1" x14ac:dyDescent="0.2">
      <c r="A359" s="173" t="s">
        <v>1334</v>
      </c>
      <c r="B359" s="179" t="s">
        <v>1335</v>
      </c>
      <c r="C359" s="169" t="s">
        <v>203</v>
      </c>
      <c r="D359" s="165" t="s">
        <v>203</v>
      </c>
      <c r="E359" s="165" t="s">
        <v>203</v>
      </c>
      <c r="F359" s="165" t="s">
        <v>203</v>
      </c>
      <c r="G359" s="167">
        <v>1289.4384971300001</v>
      </c>
      <c r="H359" s="167">
        <v>0</v>
      </c>
      <c r="I359" s="167">
        <f t="shared" si="59"/>
        <v>1289.4384971300001</v>
      </c>
      <c r="J359" s="167">
        <v>0</v>
      </c>
      <c r="K359" s="167">
        <v>0</v>
      </c>
      <c r="L359" s="167">
        <f t="shared" si="65"/>
        <v>0</v>
      </c>
      <c r="M359" s="127">
        <f t="shared" si="61"/>
        <v>1289.4384971300001</v>
      </c>
      <c r="N359" s="167">
        <f t="shared" si="62"/>
        <v>0</v>
      </c>
      <c r="O359" s="167">
        <f t="shared" si="63"/>
        <v>1289.4384971300001</v>
      </c>
      <c r="P359" s="178" t="s">
        <v>203</v>
      </c>
      <c r="Q359" s="187"/>
      <c r="R359" s="128">
        <v>1</v>
      </c>
      <c r="S359" s="128">
        <v>0</v>
      </c>
      <c r="T359" s="169">
        <v>97</v>
      </c>
      <c r="U359" s="169">
        <v>97</v>
      </c>
      <c r="V359" s="169">
        <v>0</v>
      </c>
      <c r="W359" s="169">
        <v>0</v>
      </c>
      <c r="X359" s="169">
        <f t="shared" si="64"/>
        <v>97</v>
      </c>
    </row>
    <row r="360" spans="1:24" ht="16.149999999999999" customHeight="1" x14ac:dyDescent="0.2">
      <c r="A360" s="189" t="s">
        <v>298</v>
      </c>
      <c r="B360" s="189"/>
      <c r="C360" s="189"/>
      <c r="D360" s="189"/>
      <c r="E360" s="189"/>
      <c r="F360" s="189"/>
      <c r="G360" s="190">
        <f t="shared" ref="G360:P360" si="66">SUM(G210:G359)</f>
        <v>91874.363495529993</v>
      </c>
      <c r="H360" s="190">
        <f t="shared" si="66"/>
        <v>40222.737453900001</v>
      </c>
      <c r="I360" s="190">
        <f t="shared" si="66"/>
        <v>132097.10094942997</v>
      </c>
      <c r="J360" s="190">
        <f t="shared" si="66"/>
        <v>82741.053113299946</v>
      </c>
      <c r="K360" s="190">
        <f t="shared" si="66"/>
        <v>31295.687916349998</v>
      </c>
      <c r="L360" s="190">
        <f t="shared" si="66"/>
        <v>114036.74102964994</v>
      </c>
      <c r="M360" s="190">
        <f t="shared" si="66"/>
        <v>9133.3103822300018</v>
      </c>
      <c r="N360" s="190">
        <f t="shared" si="66"/>
        <v>8927.0495375499995</v>
      </c>
      <c r="O360" s="190">
        <f t="shared" si="66"/>
        <v>18060.359919779996</v>
      </c>
      <c r="P360" s="190">
        <f t="shared" si="66"/>
        <v>14445.12372121</v>
      </c>
      <c r="Q360" s="146"/>
      <c r="R360" s="208"/>
      <c r="S360" s="208"/>
      <c r="T360" s="209">
        <f>SUM(T210:T359)</f>
        <v>9684</v>
      </c>
      <c r="U360" s="209">
        <f>SUM(U210:U359)</f>
        <v>38452</v>
      </c>
      <c r="V360" s="209">
        <f>SUM(V210:V359)</f>
        <v>219</v>
      </c>
      <c r="W360" s="209">
        <f>SUM(W210:W359)</f>
        <v>8471</v>
      </c>
      <c r="X360" s="209">
        <f>SUM(X210:X359)</f>
        <v>1213</v>
      </c>
    </row>
    <row r="361" spans="1:24" ht="16.149999999999999" customHeight="1" x14ac:dyDescent="0.2">
      <c r="A361" s="155"/>
      <c r="B361" s="156"/>
      <c r="C361" s="156"/>
      <c r="D361" s="156"/>
      <c r="E361" s="156"/>
      <c r="F361" s="156"/>
      <c r="G361" s="156"/>
      <c r="H361" s="156"/>
      <c r="I361" s="156"/>
      <c r="J361" s="156"/>
      <c r="K361" s="156"/>
      <c r="L361" s="146"/>
      <c r="M361" s="126"/>
      <c r="N361" s="146"/>
      <c r="O361" s="146"/>
      <c r="P361" s="146"/>
      <c r="Q361" s="146"/>
      <c r="R361" s="161"/>
      <c r="S361" s="161"/>
      <c r="T361" s="210"/>
      <c r="U361" s="210"/>
      <c r="V361" s="210"/>
      <c r="W361" s="210"/>
      <c r="X361" s="210"/>
    </row>
    <row r="362" spans="1:24" ht="16.149999999999999" customHeight="1" x14ac:dyDescent="0.2">
      <c r="A362" s="158" t="s">
        <v>12</v>
      </c>
      <c r="B362" s="158"/>
      <c r="C362" s="155"/>
      <c r="D362" s="155"/>
      <c r="E362" s="155"/>
      <c r="F362" s="194"/>
      <c r="G362" s="194"/>
      <c r="H362" s="194"/>
      <c r="I362" s="194"/>
      <c r="J362" s="194"/>
      <c r="K362" s="194"/>
      <c r="L362" s="194"/>
      <c r="M362" s="133"/>
      <c r="N362" s="194"/>
      <c r="O362" s="194"/>
      <c r="P362" s="194"/>
      <c r="Q362" s="194"/>
      <c r="R362" s="195"/>
      <c r="S362" s="211"/>
      <c r="T362" s="194"/>
      <c r="U362" s="194"/>
      <c r="V362" s="194"/>
      <c r="W362" s="194"/>
      <c r="X362" s="194"/>
    </row>
    <row r="363" spans="1:24" ht="16.149999999999999" customHeight="1" x14ac:dyDescent="0.2">
      <c r="A363" s="170" t="s">
        <v>946</v>
      </c>
      <c r="B363" s="171">
        <v>37050</v>
      </c>
      <c r="C363" s="171">
        <v>37312</v>
      </c>
      <c r="D363" s="165"/>
      <c r="E363" s="165"/>
      <c r="F363" s="165">
        <v>38260</v>
      </c>
      <c r="G363" s="167">
        <v>40.5</v>
      </c>
      <c r="H363" s="167">
        <v>0</v>
      </c>
      <c r="I363" s="167">
        <f t="shared" ref="I363:I403" si="67">G363+H363</f>
        <v>40.5</v>
      </c>
      <c r="J363" s="167">
        <v>40.5</v>
      </c>
      <c r="K363" s="167">
        <v>0</v>
      </c>
      <c r="L363" s="167">
        <f t="shared" ref="L363:L403" si="68">J363+K363</f>
        <v>40.5</v>
      </c>
      <c r="M363" s="127">
        <f t="shared" ref="M363:M397" si="69">G363-J363</f>
        <v>0</v>
      </c>
      <c r="N363" s="167">
        <f t="shared" ref="N363:N397" si="70">H363-K363</f>
        <v>0</v>
      </c>
      <c r="O363" s="167">
        <f t="shared" ref="O363:O403" si="71">M363+N363</f>
        <v>0</v>
      </c>
      <c r="P363" s="167">
        <v>0</v>
      </c>
      <c r="Q363" s="187"/>
      <c r="R363" s="128">
        <v>1</v>
      </c>
      <c r="S363" s="128">
        <v>0.9</v>
      </c>
      <c r="T363" s="169">
        <v>135</v>
      </c>
      <c r="U363" s="169">
        <v>135</v>
      </c>
      <c r="V363" s="169">
        <v>0</v>
      </c>
      <c r="W363" s="169">
        <v>135</v>
      </c>
      <c r="X363" s="169">
        <f>T363-W363</f>
        <v>0</v>
      </c>
    </row>
    <row r="364" spans="1:24" ht="16.149999999999999" customHeight="1" x14ac:dyDescent="0.2">
      <c r="A364" s="170" t="s">
        <v>947</v>
      </c>
      <c r="B364" s="171">
        <v>35327</v>
      </c>
      <c r="C364" s="171">
        <v>36793</v>
      </c>
      <c r="D364" s="165"/>
      <c r="E364" s="165"/>
      <c r="F364" s="165">
        <v>36793</v>
      </c>
      <c r="G364" s="167">
        <v>577.99</v>
      </c>
      <c r="H364" s="167">
        <v>0</v>
      </c>
      <c r="I364" s="167">
        <f t="shared" si="67"/>
        <v>577.99</v>
      </c>
      <c r="J364" s="167">
        <v>577.99</v>
      </c>
      <c r="K364" s="167">
        <v>0</v>
      </c>
      <c r="L364" s="167">
        <f t="shared" si="68"/>
        <v>577.99</v>
      </c>
      <c r="M364" s="127">
        <f t="shared" si="69"/>
        <v>0</v>
      </c>
      <c r="N364" s="167">
        <f t="shared" si="70"/>
        <v>0</v>
      </c>
      <c r="O364" s="167">
        <f t="shared" si="71"/>
        <v>0</v>
      </c>
      <c r="P364" s="167">
        <v>0</v>
      </c>
      <c r="Q364" s="187"/>
      <c r="R364" s="128">
        <v>1</v>
      </c>
      <c r="S364" s="128">
        <v>1</v>
      </c>
      <c r="T364" s="169">
        <v>489</v>
      </c>
      <c r="U364" s="169">
        <v>489</v>
      </c>
      <c r="V364" s="169">
        <v>0</v>
      </c>
      <c r="W364" s="169">
        <v>513</v>
      </c>
      <c r="X364" s="169">
        <f t="shared" ref="X364:X401" si="72">T364-W364</f>
        <v>-24</v>
      </c>
    </row>
    <row r="365" spans="1:24" ht="16.149999999999999" customHeight="1" x14ac:dyDescent="0.2">
      <c r="A365" s="170" t="s">
        <v>948</v>
      </c>
      <c r="B365" s="171">
        <v>36516</v>
      </c>
      <c r="C365" s="171"/>
      <c r="D365" s="165"/>
      <c r="E365" s="165"/>
      <c r="F365" s="165">
        <v>37302</v>
      </c>
      <c r="G365" s="167">
        <v>676.64</v>
      </c>
      <c r="H365" s="167">
        <v>0</v>
      </c>
      <c r="I365" s="167">
        <f t="shared" si="67"/>
        <v>676.64</v>
      </c>
      <c r="J365" s="167">
        <v>676.64</v>
      </c>
      <c r="K365" s="167">
        <v>0</v>
      </c>
      <c r="L365" s="167">
        <f t="shared" si="68"/>
        <v>676.64</v>
      </c>
      <c r="M365" s="127">
        <f t="shared" si="69"/>
        <v>0</v>
      </c>
      <c r="N365" s="167">
        <f t="shared" si="70"/>
        <v>0</v>
      </c>
      <c r="O365" s="167">
        <f t="shared" si="71"/>
        <v>0</v>
      </c>
      <c r="P365" s="167">
        <v>0</v>
      </c>
      <c r="Q365" s="187"/>
      <c r="R365" s="128">
        <v>1</v>
      </c>
      <c r="S365" s="128">
        <v>1</v>
      </c>
      <c r="T365" s="169">
        <v>320</v>
      </c>
      <c r="U365" s="169">
        <v>320</v>
      </c>
      <c r="V365" s="169">
        <v>0</v>
      </c>
      <c r="W365" s="169">
        <v>319</v>
      </c>
      <c r="X365" s="169">
        <f t="shared" si="72"/>
        <v>1</v>
      </c>
    </row>
    <row r="366" spans="1:24" ht="16.149999999999999" customHeight="1" x14ac:dyDescent="0.2">
      <c r="A366" s="170" t="s">
        <v>949</v>
      </c>
      <c r="B366" s="171">
        <v>36792</v>
      </c>
      <c r="C366" s="171"/>
      <c r="D366" s="165"/>
      <c r="E366" s="165"/>
      <c r="F366" s="165">
        <v>37498</v>
      </c>
      <c r="G366" s="167">
        <f>1397.689093+(5*2175000/1000000)+9.2-11.57</f>
        <v>1406.1940930000001</v>
      </c>
      <c r="H366" s="167">
        <v>0</v>
      </c>
      <c r="I366" s="167">
        <f t="shared" si="67"/>
        <v>1406.1940930000001</v>
      </c>
      <c r="J366" s="167">
        <f>486.851+60.34+250+250+200+150.5+8.5</f>
        <v>1406.191</v>
      </c>
      <c r="K366" s="167">
        <v>0</v>
      </c>
      <c r="L366" s="167">
        <f t="shared" si="68"/>
        <v>1406.191</v>
      </c>
      <c r="M366" s="127">
        <f t="shared" si="69"/>
        <v>3.0930000000353175E-3</v>
      </c>
      <c r="N366" s="167">
        <f t="shared" si="70"/>
        <v>0</v>
      </c>
      <c r="O366" s="167">
        <f t="shared" si="71"/>
        <v>3.0930000000353175E-3</v>
      </c>
      <c r="P366" s="167">
        <v>0</v>
      </c>
      <c r="Q366" s="187"/>
      <c r="R366" s="128">
        <v>1</v>
      </c>
      <c r="S366" s="128">
        <v>1</v>
      </c>
      <c r="T366" s="169">
        <v>574</v>
      </c>
      <c r="U366" s="169">
        <v>574</v>
      </c>
      <c r="V366" s="169">
        <v>0</v>
      </c>
      <c r="W366" s="169">
        <v>574</v>
      </c>
      <c r="X366" s="169">
        <f t="shared" si="72"/>
        <v>0</v>
      </c>
    </row>
    <row r="367" spans="1:24" ht="16.149999999999999" customHeight="1" x14ac:dyDescent="0.2">
      <c r="A367" s="170" t="s">
        <v>950</v>
      </c>
      <c r="B367" s="171">
        <v>36873</v>
      </c>
      <c r="C367" s="171">
        <v>37323</v>
      </c>
      <c r="D367" s="165"/>
      <c r="E367" s="165"/>
      <c r="F367" s="165">
        <v>37772</v>
      </c>
      <c r="G367" s="167">
        <f>780.88-28.37</f>
        <v>752.51</v>
      </c>
      <c r="H367" s="167">
        <v>0</v>
      </c>
      <c r="I367" s="167">
        <f t="shared" si="67"/>
        <v>752.51</v>
      </c>
      <c r="J367" s="167">
        <v>752.51</v>
      </c>
      <c r="K367" s="167">
        <v>0</v>
      </c>
      <c r="L367" s="167">
        <f t="shared" si="68"/>
        <v>752.51</v>
      </c>
      <c r="M367" s="127">
        <f t="shared" si="69"/>
        <v>0</v>
      </c>
      <c r="N367" s="167">
        <f t="shared" si="70"/>
        <v>0</v>
      </c>
      <c r="O367" s="167">
        <f t="shared" si="71"/>
        <v>0</v>
      </c>
      <c r="P367" s="167">
        <v>0</v>
      </c>
      <c r="Q367" s="187"/>
      <c r="R367" s="128">
        <v>1</v>
      </c>
      <c r="S367" s="128">
        <v>1</v>
      </c>
      <c r="T367" s="169">
        <f>284+35</f>
        <v>319</v>
      </c>
      <c r="U367" s="169">
        <f>284+35</f>
        <v>319</v>
      </c>
      <c r="V367" s="169">
        <v>0</v>
      </c>
      <c r="W367" s="169">
        <v>319</v>
      </c>
      <c r="X367" s="169">
        <f t="shared" si="72"/>
        <v>0</v>
      </c>
    </row>
    <row r="368" spans="1:24" ht="16.149999999999999" customHeight="1" x14ac:dyDescent="0.2">
      <c r="A368" s="170" t="s">
        <v>951</v>
      </c>
      <c r="B368" s="171">
        <v>36978</v>
      </c>
      <c r="C368" s="171">
        <v>37317</v>
      </c>
      <c r="D368" s="165"/>
      <c r="E368" s="165"/>
      <c r="F368" s="165">
        <v>37605</v>
      </c>
      <c r="G368" s="167">
        <v>98.7</v>
      </c>
      <c r="H368" s="167">
        <v>0</v>
      </c>
      <c r="I368" s="167">
        <f t="shared" si="67"/>
        <v>98.7</v>
      </c>
      <c r="J368" s="167">
        <v>98.7</v>
      </c>
      <c r="K368" s="167">
        <v>0</v>
      </c>
      <c r="L368" s="167">
        <f t="shared" si="68"/>
        <v>98.7</v>
      </c>
      <c r="M368" s="127">
        <f t="shared" si="69"/>
        <v>0</v>
      </c>
      <c r="N368" s="167">
        <f t="shared" si="70"/>
        <v>0</v>
      </c>
      <c r="O368" s="167">
        <f t="shared" si="71"/>
        <v>0</v>
      </c>
      <c r="P368" s="167">
        <v>0</v>
      </c>
      <c r="Q368" s="187"/>
      <c r="R368" s="128">
        <v>1</v>
      </c>
      <c r="S368" s="128">
        <v>1</v>
      </c>
      <c r="T368" s="169">
        <v>42</v>
      </c>
      <c r="U368" s="169">
        <v>42</v>
      </c>
      <c r="V368" s="169">
        <v>0</v>
      </c>
      <c r="W368" s="169">
        <v>42</v>
      </c>
      <c r="X368" s="169">
        <f t="shared" si="72"/>
        <v>0</v>
      </c>
    </row>
    <row r="369" spans="1:24" ht="16.149999999999999" customHeight="1" x14ac:dyDescent="0.2">
      <c r="A369" s="170" t="s">
        <v>952</v>
      </c>
      <c r="B369" s="171">
        <v>36978</v>
      </c>
      <c r="C369" s="171">
        <v>37317</v>
      </c>
      <c r="D369" s="165"/>
      <c r="E369" s="165"/>
      <c r="F369" s="165">
        <v>38230</v>
      </c>
      <c r="G369" s="167">
        <v>121.08</v>
      </c>
      <c r="H369" s="167">
        <v>0</v>
      </c>
      <c r="I369" s="167">
        <f t="shared" si="67"/>
        <v>121.08</v>
      </c>
      <c r="J369" s="167">
        <v>121.08</v>
      </c>
      <c r="K369" s="167">
        <v>0</v>
      </c>
      <c r="L369" s="167">
        <f t="shared" si="68"/>
        <v>121.08</v>
      </c>
      <c r="M369" s="127">
        <f t="shared" si="69"/>
        <v>0</v>
      </c>
      <c r="N369" s="167">
        <f t="shared" si="70"/>
        <v>0</v>
      </c>
      <c r="O369" s="167">
        <f t="shared" si="71"/>
        <v>0</v>
      </c>
      <c r="P369" s="167">
        <v>0</v>
      </c>
      <c r="Q369" s="187"/>
      <c r="R369" s="128">
        <v>1</v>
      </c>
      <c r="S369" s="128">
        <v>1</v>
      </c>
      <c r="T369" s="169">
        <v>48</v>
      </c>
      <c r="U369" s="169">
        <v>48</v>
      </c>
      <c r="V369" s="169">
        <v>0</v>
      </c>
      <c r="W369" s="169">
        <v>48</v>
      </c>
      <c r="X369" s="169">
        <f t="shared" si="72"/>
        <v>0</v>
      </c>
    </row>
    <row r="370" spans="1:24" ht="16.149999999999999" customHeight="1" x14ac:dyDescent="0.2">
      <c r="A370" s="170" t="s">
        <v>953</v>
      </c>
      <c r="B370" s="171">
        <v>37020</v>
      </c>
      <c r="C370" s="171">
        <v>37280</v>
      </c>
      <c r="D370" s="165"/>
      <c r="E370" s="165"/>
      <c r="F370" s="165">
        <v>38321</v>
      </c>
      <c r="G370" s="167">
        <v>382.48</v>
      </c>
      <c r="H370" s="167">
        <v>0</v>
      </c>
      <c r="I370" s="167">
        <f t="shared" si="67"/>
        <v>382.48</v>
      </c>
      <c r="J370" s="167">
        <v>382.48</v>
      </c>
      <c r="K370" s="167">
        <v>0</v>
      </c>
      <c r="L370" s="167">
        <f t="shared" si="68"/>
        <v>382.48</v>
      </c>
      <c r="M370" s="127">
        <f t="shared" si="69"/>
        <v>0</v>
      </c>
      <c r="N370" s="167">
        <f t="shared" si="70"/>
        <v>0</v>
      </c>
      <c r="O370" s="167">
        <f t="shared" si="71"/>
        <v>0</v>
      </c>
      <c r="P370" s="167">
        <v>0</v>
      </c>
      <c r="Q370" s="187"/>
      <c r="R370" s="128">
        <v>1</v>
      </c>
      <c r="S370" s="128">
        <v>1</v>
      </c>
      <c r="T370" s="169">
        <v>140</v>
      </c>
      <c r="U370" s="169">
        <v>140</v>
      </c>
      <c r="V370" s="169">
        <v>0</v>
      </c>
      <c r="W370" s="169">
        <v>140</v>
      </c>
      <c r="X370" s="169">
        <f t="shared" si="72"/>
        <v>0</v>
      </c>
    </row>
    <row r="371" spans="1:24" ht="16.149999999999999" customHeight="1" x14ac:dyDescent="0.2">
      <c r="A371" s="170" t="s">
        <v>954</v>
      </c>
      <c r="B371" s="171">
        <v>36708</v>
      </c>
      <c r="C371" s="171">
        <v>37084</v>
      </c>
      <c r="D371" s="165"/>
      <c r="E371" s="165"/>
      <c r="F371" s="165">
        <v>37833</v>
      </c>
      <c r="G371" s="167">
        <f>1116-56.38</f>
        <v>1059.6199999999999</v>
      </c>
      <c r="H371" s="167">
        <v>0</v>
      </c>
      <c r="I371" s="167">
        <f t="shared" si="67"/>
        <v>1059.6199999999999</v>
      </c>
      <c r="J371" s="167">
        <v>1059.6199999999999</v>
      </c>
      <c r="K371" s="167">
        <v>0</v>
      </c>
      <c r="L371" s="167">
        <f t="shared" si="68"/>
        <v>1059.6199999999999</v>
      </c>
      <c r="M371" s="127">
        <f t="shared" si="69"/>
        <v>0</v>
      </c>
      <c r="N371" s="167">
        <f t="shared" si="70"/>
        <v>0</v>
      </c>
      <c r="O371" s="167">
        <f t="shared" si="71"/>
        <v>0</v>
      </c>
      <c r="P371" s="167">
        <f>3.07-3.07</f>
        <v>0</v>
      </c>
      <c r="Q371" s="187"/>
      <c r="R371" s="128">
        <v>1</v>
      </c>
      <c r="S371" s="128">
        <v>1</v>
      </c>
      <c r="T371" s="169">
        <v>465</v>
      </c>
      <c r="U371" s="169">
        <v>465</v>
      </c>
      <c r="V371" s="169">
        <v>3</v>
      </c>
      <c r="W371" s="169">
        <v>464</v>
      </c>
      <c r="X371" s="169">
        <f t="shared" si="72"/>
        <v>1</v>
      </c>
    </row>
    <row r="372" spans="1:24" ht="16.149999999999999" customHeight="1" x14ac:dyDescent="0.2">
      <c r="A372" s="170" t="s">
        <v>955</v>
      </c>
      <c r="B372" s="171">
        <v>37679</v>
      </c>
      <c r="C372" s="171">
        <v>38057</v>
      </c>
      <c r="D372" s="165"/>
      <c r="E372" s="165"/>
      <c r="F372" s="165">
        <v>39568</v>
      </c>
      <c r="G372" s="167">
        <v>505.99</v>
      </c>
      <c r="H372" s="167">
        <v>0</v>
      </c>
      <c r="I372" s="167">
        <f t="shared" si="67"/>
        <v>505.99</v>
      </c>
      <c r="J372" s="167">
        <v>505.99</v>
      </c>
      <c r="K372" s="167">
        <v>0</v>
      </c>
      <c r="L372" s="167">
        <f t="shared" si="68"/>
        <v>505.99</v>
      </c>
      <c r="M372" s="127">
        <f t="shared" si="69"/>
        <v>0</v>
      </c>
      <c r="N372" s="167">
        <f t="shared" si="70"/>
        <v>0</v>
      </c>
      <c r="O372" s="167">
        <f t="shared" si="71"/>
        <v>0</v>
      </c>
      <c r="P372" s="167">
        <v>0</v>
      </c>
      <c r="Q372" s="187"/>
      <c r="R372" s="128">
        <v>1</v>
      </c>
      <c r="S372" s="128">
        <v>1</v>
      </c>
      <c r="T372" s="169">
        <v>140</v>
      </c>
      <c r="U372" s="169">
        <v>140</v>
      </c>
      <c r="V372" s="169">
        <v>0</v>
      </c>
      <c r="W372" s="169">
        <v>140</v>
      </c>
      <c r="X372" s="169">
        <f t="shared" si="72"/>
        <v>0</v>
      </c>
    </row>
    <row r="373" spans="1:24" ht="16.149999999999999" customHeight="1" x14ac:dyDescent="0.2">
      <c r="A373" s="170" t="s">
        <v>13</v>
      </c>
      <c r="B373" s="171">
        <v>37894</v>
      </c>
      <c r="C373" s="171">
        <v>38288</v>
      </c>
      <c r="D373" s="165"/>
      <c r="E373" s="165"/>
      <c r="F373" s="165">
        <v>39537</v>
      </c>
      <c r="G373" s="167">
        <f>710.51+20.38+33.2</f>
        <v>764.09</v>
      </c>
      <c r="H373" s="167">
        <v>0</v>
      </c>
      <c r="I373" s="167">
        <f t="shared" si="67"/>
        <v>764.09</v>
      </c>
      <c r="J373" s="167">
        <f>370+394.09</f>
        <v>764.08999999999992</v>
      </c>
      <c r="K373" s="167">
        <v>0</v>
      </c>
      <c r="L373" s="167">
        <f t="shared" si="68"/>
        <v>764.08999999999992</v>
      </c>
      <c r="M373" s="127">
        <f t="shared" si="69"/>
        <v>0</v>
      </c>
      <c r="N373" s="167">
        <f t="shared" si="70"/>
        <v>0</v>
      </c>
      <c r="O373" s="167">
        <f t="shared" si="71"/>
        <v>0</v>
      </c>
      <c r="P373" s="167">
        <f>55.84-18.46-9.18-4.62-4.61-4.61-4.62</f>
        <v>9.740000000000002</v>
      </c>
      <c r="Q373" s="187"/>
      <c r="R373" s="128">
        <v>1</v>
      </c>
      <c r="S373" s="128">
        <v>1</v>
      </c>
      <c r="T373" s="169">
        <f>166-3</f>
        <v>163</v>
      </c>
      <c r="U373" s="169">
        <f>166-3</f>
        <v>163</v>
      </c>
      <c r="V373" s="169">
        <v>1</v>
      </c>
      <c r="W373" s="169">
        <v>159</v>
      </c>
      <c r="X373" s="169">
        <f t="shared" si="72"/>
        <v>4</v>
      </c>
    </row>
    <row r="374" spans="1:24" ht="16.149999999999999" customHeight="1" x14ac:dyDescent="0.2">
      <c r="A374" s="170" t="s">
        <v>956</v>
      </c>
      <c r="B374" s="171">
        <v>36516</v>
      </c>
      <c r="C374" s="171">
        <v>37237</v>
      </c>
      <c r="D374" s="165"/>
      <c r="E374" s="165"/>
      <c r="F374" s="165">
        <v>38230</v>
      </c>
      <c r="G374" s="167">
        <f>558.16-0.73</f>
        <v>557.42999999999995</v>
      </c>
      <c r="H374" s="167">
        <v>0</v>
      </c>
      <c r="I374" s="167">
        <f t="shared" si="67"/>
        <v>557.42999999999995</v>
      </c>
      <c r="J374" s="167">
        <v>557.42999999999995</v>
      </c>
      <c r="K374" s="167">
        <v>0</v>
      </c>
      <c r="L374" s="167">
        <f t="shared" si="68"/>
        <v>557.42999999999995</v>
      </c>
      <c r="M374" s="127">
        <f t="shared" si="69"/>
        <v>0</v>
      </c>
      <c r="N374" s="167">
        <f t="shared" si="70"/>
        <v>0</v>
      </c>
      <c r="O374" s="167">
        <f t="shared" si="71"/>
        <v>0</v>
      </c>
      <c r="P374" s="167">
        <v>0</v>
      </c>
      <c r="Q374" s="187"/>
      <c r="R374" s="128">
        <v>1</v>
      </c>
      <c r="S374" s="128">
        <v>1</v>
      </c>
      <c r="T374" s="169">
        <v>236</v>
      </c>
      <c r="U374" s="169">
        <v>236</v>
      </c>
      <c r="V374" s="169">
        <v>0</v>
      </c>
      <c r="W374" s="169">
        <v>236</v>
      </c>
      <c r="X374" s="169">
        <f t="shared" si="72"/>
        <v>0</v>
      </c>
    </row>
    <row r="375" spans="1:24" ht="16.149999999999999" customHeight="1" x14ac:dyDescent="0.2">
      <c r="A375" s="170" t="s">
        <v>957</v>
      </c>
      <c r="B375" s="171">
        <v>37340</v>
      </c>
      <c r="C375" s="171">
        <v>37623</v>
      </c>
      <c r="D375" s="165"/>
      <c r="E375" s="165"/>
      <c r="F375" s="165">
        <v>38578</v>
      </c>
      <c r="G375" s="167">
        <v>548.36</v>
      </c>
      <c r="H375" s="167">
        <v>0</v>
      </c>
      <c r="I375" s="167">
        <f t="shared" si="67"/>
        <v>548.36</v>
      </c>
      <c r="J375" s="167">
        <f>150+149.49+122.68+126.19</f>
        <v>548.36</v>
      </c>
      <c r="K375" s="167">
        <v>0</v>
      </c>
      <c r="L375" s="167">
        <f t="shared" si="68"/>
        <v>548.36</v>
      </c>
      <c r="M375" s="127">
        <f t="shared" si="69"/>
        <v>0</v>
      </c>
      <c r="N375" s="167">
        <f t="shared" si="70"/>
        <v>0</v>
      </c>
      <c r="O375" s="167">
        <f t="shared" si="71"/>
        <v>0</v>
      </c>
      <c r="P375" s="167">
        <v>0</v>
      </c>
      <c r="Q375" s="187"/>
      <c r="R375" s="128">
        <v>1</v>
      </c>
      <c r="S375" s="128">
        <v>1</v>
      </c>
      <c r="T375" s="169">
        <v>155</v>
      </c>
      <c r="U375" s="169">
        <v>155</v>
      </c>
      <c r="V375" s="169">
        <v>0</v>
      </c>
      <c r="W375" s="169">
        <v>155</v>
      </c>
      <c r="X375" s="169">
        <f t="shared" si="72"/>
        <v>0</v>
      </c>
    </row>
    <row r="376" spans="1:24" ht="16.149999999999999" customHeight="1" x14ac:dyDescent="0.2">
      <c r="A376" s="170" t="s">
        <v>14</v>
      </c>
      <c r="B376" s="171">
        <v>37973</v>
      </c>
      <c r="C376" s="171">
        <v>38359</v>
      </c>
      <c r="D376" s="165"/>
      <c r="E376" s="165"/>
      <c r="F376" s="165">
        <v>39659</v>
      </c>
      <c r="G376" s="167">
        <f>546.98+6.75</f>
        <v>553.73</v>
      </c>
      <c r="H376" s="167">
        <v>0</v>
      </c>
      <c r="I376" s="167">
        <f t="shared" si="67"/>
        <v>553.73</v>
      </c>
      <c r="J376" s="167">
        <f>546.98+6.75</f>
        <v>553.73</v>
      </c>
      <c r="K376" s="167">
        <v>0</v>
      </c>
      <c r="L376" s="167">
        <f t="shared" si="68"/>
        <v>553.73</v>
      </c>
      <c r="M376" s="127">
        <f t="shared" si="69"/>
        <v>0</v>
      </c>
      <c r="N376" s="167">
        <f t="shared" si="70"/>
        <v>0</v>
      </c>
      <c r="O376" s="167">
        <f t="shared" si="71"/>
        <v>0</v>
      </c>
      <c r="P376" s="167">
        <f>546.98+6.75-88.08-161.68-4.89-88.1-14.16-69.72-9.49-18.91-3.16-9.34-4.58-4.67-9.72-10.11-14.54-4.82-5.05-11.63-4.67-2.23-9.33-4.82-0.03</f>
        <v>5.9757754300449051E-14</v>
      </c>
      <c r="Q376" s="187"/>
      <c r="R376" s="128">
        <v>1</v>
      </c>
      <c r="S376" s="128">
        <v>1</v>
      </c>
      <c r="T376" s="169">
        <v>122</v>
      </c>
      <c r="U376" s="169">
        <v>122</v>
      </c>
      <c r="V376" s="169">
        <v>1</v>
      </c>
      <c r="W376" s="169">
        <v>121</v>
      </c>
      <c r="X376" s="169">
        <f t="shared" si="72"/>
        <v>1</v>
      </c>
    </row>
    <row r="377" spans="1:24" ht="16.149999999999999" customHeight="1" x14ac:dyDescent="0.2">
      <c r="A377" s="170" t="s">
        <v>299</v>
      </c>
      <c r="B377" s="171">
        <v>38120</v>
      </c>
      <c r="C377" s="171">
        <v>38562</v>
      </c>
      <c r="D377" s="165"/>
      <c r="E377" s="165"/>
      <c r="F377" s="165">
        <v>39721</v>
      </c>
      <c r="G377" s="167">
        <f>519.84+24.52</f>
        <v>544.36</v>
      </c>
      <c r="H377" s="167">
        <v>0</v>
      </c>
      <c r="I377" s="167">
        <f t="shared" si="67"/>
        <v>544.36</v>
      </c>
      <c r="J377" s="167">
        <v>544.36</v>
      </c>
      <c r="K377" s="167">
        <v>0</v>
      </c>
      <c r="L377" s="167">
        <f t="shared" si="68"/>
        <v>544.36</v>
      </c>
      <c r="M377" s="127">
        <f t="shared" si="69"/>
        <v>0</v>
      </c>
      <c r="N377" s="167">
        <f t="shared" si="70"/>
        <v>0</v>
      </c>
      <c r="O377" s="167">
        <f t="shared" si="71"/>
        <v>0</v>
      </c>
      <c r="P377" s="167">
        <f>544.36-124.85-224.74-69.92-10.31-19.98-4.99-9.99-4.99-4.99-24.97-9.99-4.99-4.99-5-2.78-5-4.99-6.89</f>
        <v>-1.1546319456101628E-14</v>
      </c>
      <c r="Q377" s="187"/>
      <c r="R377" s="128">
        <v>1</v>
      </c>
      <c r="S377" s="128">
        <v>1</v>
      </c>
      <c r="T377" s="169">
        <v>109</v>
      </c>
      <c r="U377" s="169">
        <v>109</v>
      </c>
      <c r="V377" s="169">
        <v>0</v>
      </c>
      <c r="W377" s="169">
        <v>109</v>
      </c>
      <c r="X377" s="169">
        <f t="shared" si="72"/>
        <v>0</v>
      </c>
    </row>
    <row r="378" spans="1:24" ht="16.149999999999999" customHeight="1" x14ac:dyDescent="0.2">
      <c r="A378" s="170" t="s">
        <v>15</v>
      </c>
      <c r="B378" s="171">
        <v>38190</v>
      </c>
      <c r="C378" s="171">
        <v>38562</v>
      </c>
      <c r="D378" s="165"/>
      <c r="E378" s="165"/>
      <c r="F378" s="165">
        <v>39598</v>
      </c>
      <c r="G378" s="167">
        <v>309.25</v>
      </c>
      <c r="H378" s="167">
        <v>0</v>
      </c>
      <c r="I378" s="167">
        <f t="shared" si="67"/>
        <v>309.25</v>
      </c>
      <c r="J378" s="167">
        <v>309.25</v>
      </c>
      <c r="K378" s="167">
        <v>0</v>
      </c>
      <c r="L378" s="167">
        <f t="shared" si="68"/>
        <v>309.25</v>
      </c>
      <c r="M378" s="127">
        <f t="shared" si="69"/>
        <v>0</v>
      </c>
      <c r="N378" s="167">
        <f t="shared" si="70"/>
        <v>0</v>
      </c>
      <c r="O378" s="167">
        <f t="shared" si="71"/>
        <v>0</v>
      </c>
      <c r="P378" s="167">
        <f>309.25-38.66-4.83-4.83-4.83-9.66-24.16-14.5-19.33-4.83-4.83-4.83-4.83-4.83-4.84-4.83-4.83-9.66-4.83-9.67-4.83-19.33-4.83-19.33-4.83-4.83-9.66-4.85-4.83-4.83-4.83</f>
        <v>38.660000000000018</v>
      </c>
      <c r="Q378" s="187"/>
      <c r="R378" s="128">
        <v>1</v>
      </c>
      <c r="S378" s="128">
        <v>1</v>
      </c>
      <c r="T378" s="169">
        <v>64</v>
      </c>
      <c r="U378" s="169">
        <v>64</v>
      </c>
      <c r="V378" s="169">
        <v>0</v>
      </c>
      <c r="W378" s="169">
        <v>56</v>
      </c>
      <c r="X378" s="169">
        <f t="shared" si="72"/>
        <v>8</v>
      </c>
    </row>
    <row r="379" spans="1:24" ht="16.149999999999999" customHeight="1" x14ac:dyDescent="0.2">
      <c r="A379" s="170" t="s">
        <v>958</v>
      </c>
      <c r="B379" s="171">
        <v>39051</v>
      </c>
      <c r="C379" s="171"/>
      <c r="D379" s="165"/>
      <c r="E379" s="165"/>
      <c r="F379" s="165" t="s">
        <v>203</v>
      </c>
      <c r="G379" s="167">
        <f>474.95+23.75</f>
        <v>498.7</v>
      </c>
      <c r="H379" s="167">
        <v>0</v>
      </c>
      <c r="I379" s="167">
        <f t="shared" si="67"/>
        <v>498.7</v>
      </c>
      <c r="J379" s="167">
        <v>0</v>
      </c>
      <c r="K379" s="167">
        <v>0</v>
      </c>
      <c r="L379" s="167">
        <f t="shared" si="68"/>
        <v>0</v>
      </c>
      <c r="M379" s="127">
        <f t="shared" si="69"/>
        <v>498.7</v>
      </c>
      <c r="N379" s="167">
        <f t="shared" si="70"/>
        <v>0</v>
      </c>
      <c r="O379" s="167">
        <f t="shared" si="71"/>
        <v>498.7</v>
      </c>
      <c r="P379" s="167">
        <v>0</v>
      </c>
      <c r="Q379" s="187"/>
      <c r="R379" s="128">
        <v>0</v>
      </c>
      <c r="S379" s="128">
        <v>0</v>
      </c>
      <c r="T379" s="169">
        <v>105</v>
      </c>
      <c r="U379" s="169">
        <v>0</v>
      </c>
      <c r="V379" s="169">
        <v>0</v>
      </c>
      <c r="W379" s="169">
        <v>0</v>
      </c>
      <c r="X379" s="169">
        <f t="shared" si="72"/>
        <v>105</v>
      </c>
    </row>
    <row r="380" spans="1:24" ht="16.149999999999999" customHeight="1" x14ac:dyDescent="0.2">
      <c r="A380" s="170" t="s">
        <v>959</v>
      </c>
      <c r="B380" s="198">
        <v>40091</v>
      </c>
      <c r="C380" s="171"/>
      <c r="D380" s="165"/>
      <c r="E380" s="165"/>
      <c r="F380" s="165"/>
      <c r="G380" s="167">
        <v>0</v>
      </c>
      <c r="H380" s="167">
        <v>733.56</v>
      </c>
      <c r="I380" s="167">
        <f t="shared" si="67"/>
        <v>733.56</v>
      </c>
      <c r="J380" s="167">
        <v>0</v>
      </c>
      <c r="K380" s="167">
        <v>0</v>
      </c>
      <c r="L380" s="167">
        <f t="shared" si="68"/>
        <v>0</v>
      </c>
      <c r="M380" s="127">
        <f t="shared" si="69"/>
        <v>0</v>
      </c>
      <c r="N380" s="167">
        <f t="shared" si="70"/>
        <v>733.56</v>
      </c>
      <c r="O380" s="167">
        <f t="shared" si="71"/>
        <v>733.56</v>
      </c>
      <c r="P380" s="167">
        <v>0</v>
      </c>
      <c r="Q380" s="187"/>
      <c r="R380" s="128">
        <v>0</v>
      </c>
      <c r="S380" s="128">
        <v>1</v>
      </c>
      <c r="T380" s="169">
        <v>0</v>
      </c>
      <c r="U380" s="169">
        <v>357</v>
      </c>
      <c r="V380" s="169" t="s">
        <v>203</v>
      </c>
      <c r="W380" s="169" t="s">
        <v>203</v>
      </c>
      <c r="X380" s="169">
        <v>0</v>
      </c>
    </row>
    <row r="381" spans="1:24" ht="16.149999999999999" customHeight="1" x14ac:dyDescent="0.2">
      <c r="A381" s="170" t="s">
        <v>960</v>
      </c>
      <c r="B381" s="171">
        <v>39218</v>
      </c>
      <c r="C381" s="171" t="s">
        <v>203</v>
      </c>
      <c r="D381" s="165"/>
      <c r="E381" s="165"/>
      <c r="F381" s="165" t="s">
        <v>203</v>
      </c>
      <c r="G381" s="167">
        <v>152.34</v>
      </c>
      <c r="H381" s="167">
        <v>0</v>
      </c>
      <c r="I381" s="167">
        <f t="shared" si="67"/>
        <v>152.34</v>
      </c>
      <c r="J381" s="167">
        <v>152.34</v>
      </c>
      <c r="K381" s="167">
        <v>0</v>
      </c>
      <c r="L381" s="167">
        <f t="shared" si="68"/>
        <v>152.34</v>
      </c>
      <c r="M381" s="127">
        <f t="shared" si="69"/>
        <v>0</v>
      </c>
      <c r="N381" s="167">
        <f t="shared" si="70"/>
        <v>0</v>
      </c>
      <c r="O381" s="167">
        <f t="shared" si="71"/>
        <v>0</v>
      </c>
      <c r="P381" s="184" t="s">
        <v>203</v>
      </c>
      <c r="Q381" s="187"/>
      <c r="R381" s="128">
        <v>1</v>
      </c>
      <c r="S381" s="128">
        <v>1</v>
      </c>
      <c r="T381" s="169">
        <v>22</v>
      </c>
      <c r="U381" s="169">
        <v>22</v>
      </c>
      <c r="V381" s="169">
        <v>0</v>
      </c>
      <c r="W381" s="169">
        <v>22</v>
      </c>
      <c r="X381" s="169">
        <f t="shared" si="72"/>
        <v>0</v>
      </c>
    </row>
    <row r="382" spans="1:24" ht="16.149999999999999" customHeight="1" x14ac:dyDescent="0.2">
      <c r="A382" s="170" t="s">
        <v>961</v>
      </c>
      <c r="B382" s="171" t="s">
        <v>962</v>
      </c>
      <c r="C382" s="171">
        <v>40252</v>
      </c>
      <c r="D382" s="165" t="s">
        <v>203</v>
      </c>
      <c r="E382" s="165" t="s">
        <v>963</v>
      </c>
      <c r="F382" s="165" t="s">
        <v>963</v>
      </c>
      <c r="G382" s="167">
        <f>1601.84+11.27-147.85</f>
        <v>1465.26</v>
      </c>
      <c r="H382" s="167">
        <v>0</v>
      </c>
      <c r="I382" s="167">
        <f t="shared" si="67"/>
        <v>1465.26</v>
      </c>
      <c r="J382" s="167">
        <f>462+549+214+202.83+10.04+27.39</f>
        <v>1465.26</v>
      </c>
      <c r="K382" s="167">
        <v>0</v>
      </c>
      <c r="L382" s="167">
        <f t="shared" si="68"/>
        <v>1465.26</v>
      </c>
      <c r="M382" s="127">
        <f t="shared" si="69"/>
        <v>0</v>
      </c>
      <c r="N382" s="167">
        <f t="shared" si="70"/>
        <v>0</v>
      </c>
      <c r="O382" s="167">
        <f t="shared" si="71"/>
        <v>0</v>
      </c>
      <c r="P382" s="167">
        <f>1011+214+202.83+10.04-124.06-125.01-10.24-1016.28-42.39+27.39-21.19-20.83-10.6-21.19-21.57-10.6-10.24-31.06</f>
        <v>0</v>
      </c>
      <c r="Q382" s="187"/>
      <c r="R382" s="128">
        <v>1</v>
      </c>
      <c r="S382" s="128">
        <v>1</v>
      </c>
      <c r="T382" s="169">
        <v>141</v>
      </c>
      <c r="U382" s="169">
        <v>141</v>
      </c>
      <c r="V382" s="169">
        <v>0</v>
      </c>
      <c r="W382" s="169">
        <v>141</v>
      </c>
      <c r="X382" s="169">
        <f t="shared" si="72"/>
        <v>0</v>
      </c>
    </row>
    <row r="383" spans="1:24" ht="16.149999999999999" customHeight="1" x14ac:dyDescent="0.2">
      <c r="A383" s="170" t="s">
        <v>16</v>
      </c>
      <c r="B383" s="171">
        <v>39743</v>
      </c>
      <c r="C383" s="171" t="s">
        <v>203</v>
      </c>
      <c r="D383" s="165" t="s">
        <v>203</v>
      </c>
      <c r="E383" s="165" t="s">
        <v>203</v>
      </c>
      <c r="F383" s="165" t="s">
        <v>203</v>
      </c>
      <c r="G383" s="167">
        <v>281.97000000000003</v>
      </c>
      <c r="H383" s="167">
        <v>0</v>
      </c>
      <c r="I383" s="167">
        <f t="shared" si="67"/>
        <v>281.97000000000003</v>
      </c>
      <c r="J383" s="167">
        <v>281.97000000000003</v>
      </c>
      <c r="K383" s="167">
        <v>0</v>
      </c>
      <c r="L383" s="167">
        <f t="shared" si="68"/>
        <v>281.97000000000003</v>
      </c>
      <c r="M383" s="127">
        <f t="shared" si="69"/>
        <v>0</v>
      </c>
      <c r="N383" s="167">
        <f t="shared" si="70"/>
        <v>0</v>
      </c>
      <c r="O383" s="167">
        <f t="shared" si="71"/>
        <v>0</v>
      </c>
      <c r="P383" s="184" t="s">
        <v>203</v>
      </c>
      <c r="Q383" s="187"/>
      <c r="R383" s="128">
        <v>0.81</v>
      </c>
      <c r="S383" s="128">
        <v>1</v>
      </c>
      <c r="T383" s="169">
        <v>33</v>
      </c>
      <c r="U383" s="169">
        <v>34</v>
      </c>
      <c r="V383" s="169">
        <v>0</v>
      </c>
      <c r="W383" s="169">
        <v>33</v>
      </c>
      <c r="X383" s="169">
        <f t="shared" si="72"/>
        <v>0</v>
      </c>
    </row>
    <row r="384" spans="1:24" ht="16.149999999999999" customHeight="1" x14ac:dyDescent="0.2">
      <c r="A384" s="170" t="s">
        <v>17</v>
      </c>
      <c r="B384" s="171" t="s">
        <v>18</v>
      </c>
      <c r="C384" s="171" t="s">
        <v>203</v>
      </c>
      <c r="D384" s="165" t="s">
        <v>203</v>
      </c>
      <c r="E384" s="165" t="s">
        <v>203</v>
      </c>
      <c r="F384" s="165" t="s">
        <v>203</v>
      </c>
      <c r="G384" s="167">
        <v>172</v>
      </c>
      <c r="H384" s="167">
        <v>0</v>
      </c>
      <c r="I384" s="167">
        <f t="shared" si="67"/>
        <v>172</v>
      </c>
      <c r="J384" s="167">
        <v>172</v>
      </c>
      <c r="K384" s="167">
        <v>0</v>
      </c>
      <c r="L384" s="167">
        <f t="shared" si="68"/>
        <v>172</v>
      </c>
      <c r="M384" s="127">
        <f t="shared" si="69"/>
        <v>0</v>
      </c>
      <c r="N384" s="167">
        <f t="shared" si="70"/>
        <v>0</v>
      </c>
      <c r="O384" s="167">
        <f t="shared" si="71"/>
        <v>0</v>
      </c>
      <c r="P384" s="184" t="s">
        <v>203</v>
      </c>
      <c r="Q384" s="187"/>
      <c r="R384" s="128">
        <v>1</v>
      </c>
      <c r="S384" s="128">
        <v>0.94</v>
      </c>
      <c r="T384" s="169">
        <f>17+8</f>
        <v>25</v>
      </c>
      <c r="U384" s="169">
        <v>25</v>
      </c>
      <c r="V384" s="169">
        <v>0</v>
      </c>
      <c r="W384" s="169">
        <v>25</v>
      </c>
      <c r="X384" s="169">
        <f t="shared" si="72"/>
        <v>0</v>
      </c>
    </row>
    <row r="385" spans="1:24" ht="16.149999999999999" customHeight="1" x14ac:dyDescent="0.2">
      <c r="A385" s="170" t="s">
        <v>19</v>
      </c>
      <c r="B385" s="171">
        <v>39587</v>
      </c>
      <c r="C385" s="171" t="s">
        <v>203</v>
      </c>
      <c r="D385" s="165" t="s">
        <v>203</v>
      </c>
      <c r="E385" s="165" t="s">
        <v>203</v>
      </c>
      <c r="F385" s="165" t="s">
        <v>203</v>
      </c>
      <c r="G385" s="167">
        <v>157.19999999999999</v>
      </c>
      <c r="H385" s="167">
        <v>0</v>
      </c>
      <c r="I385" s="167">
        <f t="shared" si="67"/>
        <v>157.19999999999999</v>
      </c>
      <c r="J385" s="167">
        <v>157.19999999999999</v>
      </c>
      <c r="K385" s="167">
        <v>0</v>
      </c>
      <c r="L385" s="167">
        <f t="shared" si="68"/>
        <v>157.19999999999999</v>
      </c>
      <c r="M385" s="127">
        <f t="shared" si="69"/>
        <v>0</v>
      </c>
      <c r="N385" s="167">
        <f t="shared" si="70"/>
        <v>0</v>
      </c>
      <c r="O385" s="167">
        <f t="shared" si="71"/>
        <v>0</v>
      </c>
      <c r="P385" s="184" t="s">
        <v>203</v>
      </c>
      <c r="Q385" s="187"/>
      <c r="R385" s="128">
        <v>1</v>
      </c>
      <c r="S385" s="128">
        <v>0.53</v>
      </c>
      <c r="T385" s="169">
        <v>17</v>
      </c>
      <c r="U385" s="169">
        <v>17</v>
      </c>
      <c r="V385" s="169">
        <v>0</v>
      </c>
      <c r="W385" s="169">
        <v>17</v>
      </c>
      <c r="X385" s="169">
        <f t="shared" si="72"/>
        <v>0</v>
      </c>
    </row>
    <row r="386" spans="1:24" ht="16.149999999999999" customHeight="1" x14ac:dyDescent="0.2">
      <c r="A386" s="170" t="s">
        <v>42</v>
      </c>
      <c r="B386" s="171" t="s">
        <v>43</v>
      </c>
      <c r="C386" s="171">
        <v>40220</v>
      </c>
      <c r="D386" s="165"/>
      <c r="E386" s="165" t="s">
        <v>563</v>
      </c>
      <c r="F386" s="165" t="s">
        <v>564</v>
      </c>
      <c r="G386" s="167">
        <f>645.88+45.45</f>
        <v>691.33</v>
      </c>
      <c r="H386" s="167">
        <f>173.85+17.638</f>
        <v>191.488</v>
      </c>
      <c r="I386" s="167">
        <f t="shared" si="67"/>
        <v>882.81799999999998</v>
      </c>
      <c r="J386" s="167">
        <f>576.15+13.79+45.45</f>
        <v>635.39</v>
      </c>
      <c r="K386" s="167">
        <v>173.85</v>
      </c>
      <c r="L386" s="167">
        <f t="shared" si="68"/>
        <v>809.24</v>
      </c>
      <c r="M386" s="127">
        <f t="shared" si="69"/>
        <v>55.940000000000055</v>
      </c>
      <c r="N386" s="167">
        <f t="shared" si="70"/>
        <v>17.638000000000005</v>
      </c>
      <c r="O386" s="167">
        <f t="shared" si="71"/>
        <v>73.57800000000006</v>
      </c>
      <c r="P386" s="178">
        <f>576.15+13.79+45.45-162.92-115-9.34-28.75-57.32-9.58-134.17-19.17-9.58-19.17-9.58-9.58-19.17-12.04-9.58-9.58-0.86</f>
        <v>5.9841021027295938E-14</v>
      </c>
      <c r="Q386" s="187"/>
      <c r="R386" s="128">
        <v>1</v>
      </c>
      <c r="S386" s="128">
        <v>1</v>
      </c>
      <c r="T386" s="169">
        <f>63+4</f>
        <v>67</v>
      </c>
      <c r="U386" s="169">
        <f>63+4</f>
        <v>67</v>
      </c>
      <c r="V386" s="169">
        <v>0</v>
      </c>
      <c r="W386" s="169">
        <v>67</v>
      </c>
      <c r="X386" s="169">
        <f t="shared" si="72"/>
        <v>0</v>
      </c>
    </row>
    <row r="387" spans="1:24" ht="16.149999999999999" customHeight="1" x14ac:dyDescent="0.2">
      <c r="A387" s="170" t="s">
        <v>20</v>
      </c>
      <c r="B387" s="171" t="s">
        <v>300</v>
      </c>
      <c r="C387" s="171">
        <v>40135</v>
      </c>
      <c r="D387" s="165" t="s">
        <v>203</v>
      </c>
      <c r="E387" s="165" t="s">
        <v>203</v>
      </c>
      <c r="F387" s="165" t="s">
        <v>203</v>
      </c>
      <c r="G387" s="167">
        <f>639.64+58.1+27.7</f>
        <v>725.44</v>
      </c>
      <c r="H387" s="167">
        <v>0</v>
      </c>
      <c r="I387" s="167">
        <f t="shared" si="67"/>
        <v>725.44</v>
      </c>
      <c r="J387" s="167">
        <v>725.44</v>
      </c>
      <c r="K387" s="167">
        <v>0</v>
      </c>
      <c r="L387" s="167">
        <f t="shared" si="68"/>
        <v>725.44</v>
      </c>
      <c r="M387" s="127">
        <f t="shared" si="69"/>
        <v>0</v>
      </c>
      <c r="N387" s="167">
        <f t="shared" si="70"/>
        <v>0</v>
      </c>
      <c r="O387" s="167">
        <f t="shared" si="71"/>
        <v>0</v>
      </c>
      <c r="P387" s="178" t="s">
        <v>203</v>
      </c>
      <c r="Q387" s="187"/>
      <c r="R387" s="128">
        <v>0.96</v>
      </c>
      <c r="S387" s="128">
        <v>1</v>
      </c>
      <c r="T387" s="169">
        <f>42+6+4</f>
        <v>52</v>
      </c>
      <c r="U387" s="169">
        <f>42+6+4</f>
        <v>52</v>
      </c>
      <c r="V387" s="169">
        <v>0</v>
      </c>
      <c r="W387" s="169">
        <v>52</v>
      </c>
      <c r="X387" s="169">
        <f t="shared" si="72"/>
        <v>0</v>
      </c>
    </row>
    <row r="388" spans="1:24" ht="16.149999999999999" customHeight="1" x14ac:dyDescent="0.2">
      <c r="A388" s="170" t="s">
        <v>22</v>
      </c>
      <c r="B388" s="177" t="s">
        <v>60</v>
      </c>
      <c r="C388" s="171">
        <v>40470</v>
      </c>
      <c r="D388" s="165"/>
      <c r="E388" s="165"/>
      <c r="F388" s="165"/>
      <c r="G388" s="167">
        <f>3581.86+27.05+46.61</f>
        <v>3655.5200000000004</v>
      </c>
      <c r="H388" s="167">
        <v>0</v>
      </c>
      <c r="I388" s="167">
        <f t="shared" si="67"/>
        <v>3655.5200000000004</v>
      </c>
      <c r="J388" s="167">
        <f>400+328+267+433+630+782+514.86+27.05+46.61+4.39+3.77</f>
        <v>3436.6800000000003</v>
      </c>
      <c r="K388" s="167">
        <v>0</v>
      </c>
      <c r="L388" s="167">
        <f t="shared" si="68"/>
        <v>3436.6800000000003</v>
      </c>
      <c r="M388" s="127">
        <f t="shared" si="69"/>
        <v>218.84000000000015</v>
      </c>
      <c r="N388" s="167">
        <f t="shared" si="70"/>
        <v>0</v>
      </c>
      <c r="O388" s="167">
        <f t="shared" si="71"/>
        <v>218.84000000000015</v>
      </c>
      <c r="P388" s="167">
        <f>1258.97-85.83-12.45-114.44-14.3-14.31-85.81-157.36-85.81-71.51-14.3-42.92-14.3-13.95-41.84+3.77-181.99-41.84-56.14-14.31-42.91-27.89-13.95-57.22-27.89-14.31</f>
        <v>15.160000000000084</v>
      </c>
      <c r="Q388" s="187"/>
      <c r="R388" s="128">
        <v>1</v>
      </c>
      <c r="S388" s="128">
        <v>1</v>
      </c>
      <c r="T388" s="169">
        <v>240</v>
      </c>
      <c r="U388" s="169">
        <v>240</v>
      </c>
      <c r="V388" s="169">
        <v>0</v>
      </c>
      <c r="W388" s="169">
        <v>239</v>
      </c>
      <c r="X388" s="169">
        <f t="shared" si="72"/>
        <v>1</v>
      </c>
    </row>
    <row r="389" spans="1:24" ht="16.149999999999999" customHeight="1" x14ac:dyDescent="0.2">
      <c r="A389" s="170" t="s">
        <v>964</v>
      </c>
      <c r="B389" s="171">
        <v>39933</v>
      </c>
      <c r="C389" s="171" t="s">
        <v>203</v>
      </c>
      <c r="D389" s="165" t="s">
        <v>203</v>
      </c>
      <c r="E389" s="165" t="s">
        <v>203</v>
      </c>
      <c r="F389" s="165" t="s">
        <v>203</v>
      </c>
      <c r="G389" s="167">
        <v>327.84</v>
      </c>
      <c r="H389" s="167">
        <v>0</v>
      </c>
      <c r="I389" s="167">
        <f t="shared" si="67"/>
        <v>327.84</v>
      </c>
      <c r="J389" s="167">
        <f>193.21+57.04+31.97+34.13+11.49</f>
        <v>327.84000000000003</v>
      </c>
      <c r="K389" s="167">
        <v>0</v>
      </c>
      <c r="L389" s="167">
        <f t="shared" si="68"/>
        <v>327.84000000000003</v>
      </c>
      <c r="M389" s="127">
        <f t="shared" si="69"/>
        <v>0</v>
      </c>
      <c r="N389" s="167">
        <f t="shared" si="70"/>
        <v>0</v>
      </c>
      <c r="O389" s="167">
        <f t="shared" si="71"/>
        <v>0</v>
      </c>
      <c r="P389" s="178" t="s">
        <v>203</v>
      </c>
      <c r="Q389" s="187"/>
      <c r="R389" s="128">
        <v>1</v>
      </c>
      <c r="S389" s="128">
        <v>1</v>
      </c>
      <c r="T389" s="169">
        <v>29</v>
      </c>
      <c r="U389" s="169">
        <v>29</v>
      </c>
      <c r="V389" s="169">
        <v>0</v>
      </c>
      <c r="W389" s="169">
        <v>29</v>
      </c>
      <c r="X389" s="169">
        <f t="shared" si="72"/>
        <v>0</v>
      </c>
    </row>
    <row r="390" spans="1:24" ht="16.149999999999999" customHeight="1" x14ac:dyDescent="0.2">
      <c r="A390" s="170" t="s">
        <v>965</v>
      </c>
      <c r="B390" s="171" t="s">
        <v>966</v>
      </c>
      <c r="C390" s="171" t="s">
        <v>203</v>
      </c>
      <c r="D390" s="165" t="s">
        <v>203</v>
      </c>
      <c r="E390" s="165" t="s">
        <v>203</v>
      </c>
      <c r="F390" s="165" t="s">
        <v>203</v>
      </c>
      <c r="G390" s="167">
        <f>17.79+8.91-0.01</f>
        <v>26.689999999999998</v>
      </c>
      <c r="H390" s="167">
        <v>0</v>
      </c>
      <c r="I390" s="167">
        <f t="shared" si="67"/>
        <v>26.689999999999998</v>
      </c>
      <c r="J390" s="167">
        <f>8.89+8.89+8.91</f>
        <v>26.69</v>
      </c>
      <c r="K390" s="167">
        <v>0</v>
      </c>
      <c r="L390" s="167">
        <f t="shared" si="68"/>
        <v>26.69</v>
      </c>
      <c r="M390" s="127">
        <f t="shared" si="69"/>
        <v>0</v>
      </c>
      <c r="N390" s="167">
        <f t="shared" si="70"/>
        <v>0</v>
      </c>
      <c r="O390" s="167">
        <f t="shared" si="71"/>
        <v>0</v>
      </c>
      <c r="P390" s="178" t="s">
        <v>203</v>
      </c>
      <c r="Q390" s="187"/>
      <c r="R390" s="128">
        <v>1</v>
      </c>
      <c r="S390" s="128">
        <v>1</v>
      </c>
      <c r="T390" s="169">
        <f>2+1</f>
        <v>3</v>
      </c>
      <c r="U390" s="169">
        <f>2+1</f>
        <v>3</v>
      </c>
      <c r="V390" s="169">
        <v>0</v>
      </c>
      <c r="W390" s="169">
        <v>3</v>
      </c>
      <c r="X390" s="169">
        <f t="shared" si="72"/>
        <v>0</v>
      </c>
    </row>
    <row r="391" spans="1:24" ht="16.149999999999999" customHeight="1" x14ac:dyDescent="0.2">
      <c r="A391" s="170" t="s">
        <v>967</v>
      </c>
      <c r="B391" s="171">
        <v>40014</v>
      </c>
      <c r="C391" s="171" t="s">
        <v>203</v>
      </c>
      <c r="D391" s="165" t="s">
        <v>203</v>
      </c>
      <c r="E391" s="165" t="s">
        <v>203</v>
      </c>
      <c r="F391" s="165" t="s">
        <v>203</v>
      </c>
      <c r="G391" s="167">
        <f>1581.11-3.35</f>
        <v>1577.76</v>
      </c>
      <c r="H391" s="167">
        <v>0</v>
      </c>
      <c r="I391" s="167">
        <f t="shared" si="67"/>
        <v>1577.76</v>
      </c>
      <c r="J391" s="167">
        <f>939.9+72.07+63.11+7.69+157.16+2.68+308.37+26.78</f>
        <v>1577.76</v>
      </c>
      <c r="K391" s="167">
        <v>0</v>
      </c>
      <c r="L391" s="167">
        <f t="shared" si="68"/>
        <v>1577.76</v>
      </c>
      <c r="M391" s="127">
        <f t="shared" si="69"/>
        <v>0</v>
      </c>
      <c r="N391" s="167">
        <f t="shared" si="70"/>
        <v>0</v>
      </c>
      <c r="O391" s="167">
        <f t="shared" si="71"/>
        <v>0</v>
      </c>
      <c r="P391" s="178" t="s">
        <v>203</v>
      </c>
      <c r="Q391" s="187"/>
      <c r="R391" s="128">
        <v>1</v>
      </c>
      <c r="S391" s="128">
        <v>1</v>
      </c>
      <c r="T391" s="169">
        <v>148</v>
      </c>
      <c r="U391" s="169">
        <v>148</v>
      </c>
      <c r="V391" s="169">
        <v>0</v>
      </c>
      <c r="W391" s="169">
        <v>148</v>
      </c>
      <c r="X391" s="169">
        <f t="shared" si="72"/>
        <v>0</v>
      </c>
    </row>
    <row r="392" spans="1:24" ht="16.149999999999999" customHeight="1" x14ac:dyDescent="0.2">
      <c r="A392" s="170" t="s">
        <v>968</v>
      </c>
      <c r="B392" s="171" t="s">
        <v>969</v>
      </c>
      <c r="C392" s="171" t="s">
        <v>203</v>
      </c>
      <c r="D392" s="165" t="s">
        <v>203</v>
      </c>
      <c r="E392" s="165" t="s">
        <v>203</v>
      </c>
      <c r="F392" s="165" t="s">
        <v>203</v>
      </c>
      <c r="G392" s="167">
        <f>551.19+95.88+23.67+23.67</f>
        <v>694.41</v>
      </c>
      <c r="H392" s="167">
        <v>0</v>
      </c>
      <c r="I392" s="167">
        <f t="shared" si="67"/>
        <v>694.41</v>
      </c>
      <c r="J392" s="167">
        <v>694.41</v>
      </c>
      <c r="K392" s="167">
        <v>0</v>
      </c>
      <c r="L392" s="167">
        <f t="shared" si="68"/>
        <v>694.41</v>
      </c>
      <c r="M392" s="127">
        <f t="shared" si="69"/>
        <v>0</v>
      </c>
      <c r="N392" s="167">
        <f t="shared" si="70"/>
        <v>0</v>
      </c>
      <c r="O392" s="167">
        <f t="shared" si="71"/>
        <v>0</v>
      </c>
      <c r="P392" s="178" t="s">
        <v>203</v>
      </c>
      <c r="Q392" s="187"/>
      <c r="R392" s="128">
        <v>1</v>
      </c>
      <c r="S392" s="128">
        <v>1</v>
      </c>
      <c r="T392" s="169">
        <f>46+8+2+2</f>
        <v>58</v>
      </c>
      <c r="U392" s="169">
        <f>46+8+2+2</f>
        <v>58</v>
      </c>
      <c r="V392" s="169">
        <v>0</v>
      </c>
      <c r="W392" s="169">
        <v>58</v>
      </c>
      <c r="X392" s="169">
        <f t="shared" si="72"/>
        <v>0</v>
      </c>
    </row>
    <row r="393" spans="1:24" ht="16.149999999999999" customHeight="1" x14ac:dyDescent="0.2">
      <c r="A393" s="170" t="s">
        <v>23</v>
      </c>
      <c r="B393" s="171" t="s">
        <v>231</v>
      </c>
      <c r="C393" s="171">
        <v>40654</v>
      </c>
      <c r="D393" s="165"/>
      <c r="E393" s="165"/>
      <c r="F393" s="165"/>
      <c r="G393" s="167">
        <f>408.48+9.86+9.74</f>
        <v>428.08000000000004</v>
      </c>
      <c r="H393" s="167">
        <v>0</v>
      </c>
      <c r="I393" s="167">
        <f t="shared" si="67"/>
        <v>428.08000000000004</v>
      </c>
      <c r="J393" s="167">
        <f>182.18+123.38+87.92+9.36+9.24+7.47+5.98</f>
        <v>425.53000000000009</v>
      </c>
      <c r="K393" s="167">
        <v>0</v>
      </c>
      <c r="L393" s="167">
        <f t="shared" si="68"/>
        <v>425.53000000000009</v>
      </c>
      <c r="M393" s="127">
        <f t="shared" si="69"/>
        <v>2.5499999999999545</v>
      </c>
      <c r="N393" s="167">
        <f t="shared" si="70"/>
        <v>0</v>
      </c>
      <c r="O393" s="167">
        <f t="shared" si="71"/>
        <v>2.5499999999999545</v>
      </c>
      <c r="P393" s="167">
        <f>182.18+123.38+87.92+9.36+9.24+7.47+5.98-1.25-145.84-13.26-26.52-53.04-53.04-26.52</f>
        <v>106.06000000000007</v>
      </c>
      <c r="Q393" s="187"/>
      <c r="R393" s="128">
        <v>1</v>
      </c>
      <c r="S393" s="128">
        <v>1</v>
      </c>
      <c r="T393" s="169">
        <v>32</v>
      </c>
      <c r="U393" s="169">
        <v>32</v>
      </c>
      <c r="V393" s="169">
        <v>5</v>
      </c>
      <c r="W393" s="169">
        <v>24</v>
      </c>
      <c r="X393" s="169">
        <f t="shared" si="72"/>
        <v>8</v>
      </c>
    </row>
    <row r="394" spans="1:24" ht="16.149999999999999" customHeight="1" x14ac:dyDescent="0.2">
      <c r="A394" s="170" t="s">
        <v>44</v>
      </c>
      <c r="B394" s="171">
        <v>40532</v>
      </c>
      <c r="C394" s="171" t="s">
        <v>203</v>
      </c>
      <c r="D394" s="165" t="s">
        <v>203</v>
      </c>
      <c r="E394" s="165" t="s">
        <v>203</v>
      </c>
      <c r="F394" s="165" t="s">
        <v>203</v>
      </c>
      <c r="G394" s="167">
        <f>58.11-8.31</f>
        <v>49.8</v>
      </c>
      <c r="H394" s="167">
        <v>0</v>
      </c>
      <c r="I394" s="167">
        <f t="shared" si="67"/>
        <v>49.8</v>
      </c>
      <c r="J394" s="167">
        <f>41.5+8.3</f>
        <v>49.8</v>
      </c>
      <c r="K394" s="167">
        <v>0</v>
      </c>
      <c r="L394" s="167">
        <f t="shared" si="68"/>
        <v>49.8</v>
      </c>
      <c r="M394" s="127">
        <f t="shared" si="69"/>
        <v>0</v>
      </c>
      <c r="N394" s="167">
        <f t="shared" si="70"/>
        <v>0</v>
      </c>
      <c r="O394" s="167">
        <f t="shared" si="71"/>
        <v>0</v>
      </c>
      <c r="P394" s="178" t="s">
        <v>203</v>
      </c>
      <c r="Q394" s="187"/>
      <c r="R394" s="128">
        <v>1</v>
      </c>
      <c r="S394" s="128">
        <v>0.87</v>
      </c>
      <c r="T394" s="169">
        <v>7</v>
      </c>
      <c r="U394" s="169">
        <v>7</v>
      </c>
      <c r="V394" s="169">
        <v>1</v>
      </c>
      <c r="W394" s="169">
        <v>6</v>
      </c>
      <c r="X394" s="169">
        <f t="shared" si="72"/>
        <v>1</v>
      </c>
    </row>
    <row r="395" spans="1:24" ht="16.149999999999999" customHeight="1" x14ac:dyDescent="0.2">
      <c r="A395" s="170" t="s">
        <v>232</v>
      </c>
      <c r="B395" s="171" t="s">
        <v>301</v>
      </c>
      <c r="C395" s="171">
        <v>41132</v>
      </c>
      <c r="D395" s="165" t="s">
        <v>498</v>
      </c>
      <c r="E395" s="165" t="s">
        <v>499</v>
      </c>
      <c r="F395" s="165" t="s">
        <v>499</v>
      </c>
      <c r="G395" s="167">
        <f>2195.71+586.73+95.69-67.48-50.3+0.000015834</f>
        <v>2760.3500158339998</v>
      </c>
      <c r="H395" s="167">
        <v>0</v>
      </c>
      <c r="I395" s="167">
        <f t="shared" si="67"/>
        <v>2760.3500158339998</v>
      </c>
      <c r="J395" s="167">
        <f>270+586.73+500+500+650+95.7+44.09+1.34+13.44</f>
        <v>2661.3</v>
      </c>
      <c r="K395" s="167">
        <v>0</v>
      </c>
      <c r="L395" s="167">
        <f t="shared" si="68"/>
        <v>2661.3</v>
      </c>
      <c r="M395" s="127">
        <f t="shared" si="69"/>
        <v>99.050015833999623</v>
      </c>
      <c r="N395" s="167">
        <f t="shared" si="70"/>
        <v>0</v>
      </c>
      <c r="O395" s="167">
        <f t="shared" si="71"/>
        <v>99.050015833999623</v>
      </c>
      <c r="P395" s="167">
        <f>270+586.73+500+500+650+95.7+44.09-586.73-36.08+1.34+13.44</f>
        <v>2038.49</v>
      </c>
      <c r="Q395" s="187"/>
      <c r="R395" s="128">
        <v>1</v>
      </c>
      <c r="S395" s="128">
        <v>1</v>
      </c>
      <c r="T395" s="169">
        <f>325+3</f>
        <v>328</v>
      </c>
      <c r="U395" s="169">
        <f>325+3</f>
        <v>328</v>
      </c>
      <c r="V395" s="169">
        <v>21</v>
      </c>
      <c r="W395" s="169">
        <v>110</v>
      </c>
      <c r="X395" s="169">
        <f t="shared" si="72"/>
        <v>218</v>
      </c>
    </row>
    <row r="396" spans="1:24" ht="16.149999999999999" customHeight="1" x14ac:dyDescent="0.2">
      <c r="A396" s="170" t="s">
        <v>233</v>
      </c>
      <c r="B396" s="171" t="s">
        <v>328</v>
      </c>
      <c r="C396" s="171">
        <v>41361</v>
      </c>
      <c r="D396" s="165"/>
      <c r="E396" s="165"/>
      <c r="F396" s="165"/>
      <c r="G396" s="167">
        <f>792.36+42.69</f>
        <v>835.05</v>
      </c>
      <c r="H396" s="167">
        <v>0</v>
      </c>
      <c r="I396" s="167">
        <f t="shared" si="67"/>
        <v>835.05</v>
      </c>
      <c r="J396" s="167">
        <f>464.75+255+22.81</f>
        <v>742.56</v>
      </c>
      <c r="K396" s="167">
        <v>0</v>
      </c>
      <c r="L396" s="167">
        <f t="shared" si="68"/>
        <v>742.56</v>
      </c>
      <c r="M396" s="127">
        <f t="shared" si="69"/>
        <v>92.490000000000009</v>
      </c>
      <c r="N396" s="167">
        <f t="shared" si="70"/>
        <v>0</v>
      </c>
      <c r="O396" s="167">
        <f t="shared" si="71"/>
        <v>92.490000000000009</v>
      </c>
      <c r="P396" s="167">
        <f>464.75+255+22.81-17.15</f>
        <v>725.41</v>
      </c>
      <c r="Q396" s="187"/>
      <c r="R396" s="128">
        <v>1</v>
      </c>
      <c r="S396" s="128">
        <v>1</v>
      </c>
      <c r="T396" s="169">
        <v>56</v>
      </c>
      <c r="U396" s="169">
        <v>56</v>
      </c>
      <c r="V396" s="169">
        <v>0</v>
      </c>
      <c r="W396" s="169">
        <v>0</v>
      </c>
      <c r="X396" s="169">
        <f t="shared" si="72"/>
        <v>56</v>
      </c>
    </row>
    <row r="397" spans="1:24" ht="16.149999999999999" customHeight="1" x14ac:dyDescent="0.2">
      <c r="A397" s="170" t="s">
        <v>500</v>
      </c>
      <c r="B397" s="171" t="s">
        <v>1336</v>
      </c>
      <c r="C397" s="171" t="s">
        <v>970</v>
      </c>
      <c r="D397" s="165" t="s">
        <v>971</v>
      </c>
      <c r="E397" s="165"/>
      <c r="F397" s="165" t="s">
        <v>1337</v>
      </c>
      <c r="G397" s="167">
        <v>0</v>
      </c>
      <c r="H397" s="167">
        <f>1032.35-17.42+165.8</f>
        <v>1180.73</v>
      </c>
      <c r="I397" s="167">
        <f t="shared" si="67"/>
        <v>1180.73</v>
      </c>
      <c r="J397" s="167">
        <v>0</v>
      </c>
      <c r="K397" s="167">
        <f>53.84+133.81+66.21+61.88+74.87+37.11+114.08+29.01+186.23+107.87+97.18</f>
        <v>962.09000000000015</v>
      </c>
      <c r="L397" s="167">
        <f t="shared" si="68"/>
        <v>962.09000000000015</v>
      </c>
      <c r="M397" s="127">
        <f t="shared" si="69"/>
        <v>0</v>
      </c>
      <c r="N397" s="167">
        <f t="shared" si="70"/>
        <v>218.63999999999987</v>
      </c>
      <c r="O397" s="167">
        <f t="shared" si="71"/>
        <v>218.63999999999987</v>
      </c>
      <c r="P397" s="178" t="s">
        <v>203</v>
      </c>
      <c r="Q397" s="187"/>
      <c r="R397" s="128">
        <v>0.93210000000000004</v>
      </c>
      <c r="S397" s="128">
        <v>1</v>
      </c>
      <c r="T397" s="169">
        <v>0</v>
      </c>
      <c r="U397" s="169">
        <v>3300</v>
      </c>
      <c r="V397" s="169">
        <v>0</v>
      </c>
      <c r="W397" s="169">
        <v>0</v>
      </c>
      <c r="X397" s="169">
        <f t="shared" si="72"/>
        <v>0</v>
      </c>
    </row>
    <row r="398" spans="1:24" ht="16.149999999999999" customHeight="1" x14ac:dyDescent="0.2">
      <c r="A398" s="170" t="s">
        <v>329</v>
      </c>
      <c r="B398" s="171" t="s">
        <v>451</v>
      </c>
      <c r="C398" s="171">
        <v>42859</v>
      </c>
      <c r="D398" s="165" t="s">
        <v>452</v>
      </c>
      <c r="E398" s="165" t="s">
        <v>452</v>
      </c>
      <c r="F398" s="165" t="s">
        <v>452</v>
      </c>
      <c r="G398" s="167">
        <f>629.33+164.15+1.98</f>
        <v>795.46</v>
      </c>
      <c r="H398" s="167">
        <v>0</v>
      </c>
      <c r="I398" s="167">
        <f t="shared" si="67"/>
        <v>795.46</v>
      </c>
      <c r="J398" s="167">
        <f>49.74+88.07+35.69+21.37+69.9+50.45+38.73+255.68+57.98+30.29+9.47+13.4+16.38+4.62+27.88+0.35+0.12</f>
        <v>770.12</v>
      </c>
      <c r="K398" s="167">
        <v>0</v>
      </c>
      <c r="L398" s="167">
        <f t="shared" si="68"/>
        <v>770.12</v>
      </c>
      <c r="M398" s="127">
        <f>G398-J398-23.361722</f>
        <v>1.9782780000000315</v>
      </c>
      <c r="N398" s="167">
        <f>H398-K398</f>
        <v>0</v>
      </c>
      <c r="O398" s="167">
        <f t="shared" si="71"/>
        <v>1.9782780000000315</v>
      </c>
      <c r="P398" s="178" t="s">
        <v>203</v>
      </c>
      <c r="Q398" s="187"/>
      <c r="R398" s="128">
        <v>0.18</v>
      </c>
      <c r="S398" s="128">
        <v>0</v>
      </c>
      <c r="T398" s="169">
        <f>34-1</f>
        <v>33</v>
      </c>
      <c r="U398" s="169">
        <f>34-1</f>
        <v>33</v>
      </c>
      <c r="V398" s="169">
        <v>0</v>
      </c>
      <c r="W398" s="169">
        <v>33</v>
      </c>
      <c r="X398" s="169">
        <f t="shared" si="72"/>
        <v>0</v>
      </c>
    </row>
    <row r="399" spans="1:24" ht="16.149999999999999" customHeight="1" x14ac:dyDescent="0.2">
      <c r="A399" s="170" t="s">
        <v>389</v>
      </c>
      <c r="B399" s="171" t="s">
        <v>972</v>
      </c>
      <c r="C399" s="199">
        <v>43698</v>
      </c>
      <c r="D399" s="165" t="s">
        <v>973</v>
      </c>
      <c r="E399" s="165" t="s">
        <v>974</v>
      </c>
      <c r="F399" s="165" t="s">
        <v>975</v>
      </c>
      <c r="G399" s="167">
        <f>1537.04-31.64-21.48+85.18</f>
        <v>1569.1</v>
      </c>
      <c r="H399" s="167">
        <v>0</v>
      </c>
      <c r="I399" s="167">
        <f t="shared" si="67"/>
        <v>1569.1</v>
      </c>
      <c r="J399" s="167">
        <f>24.57+22.89+12.85+8.67+22.6+31.47+29.2+41.16+46.02+17.72+6.79+64.8+34.46+68.52+24.88+77.21+42.29+51.2+31.99+43.29+139.88+131.47+1.39</f>
        <v>975.31999999999994</v>
      </c>
      <c r="K399" s="167">
        <v>0</v>
      </c>
      <c r="L399" s="167">
        <f t="shared" si="68"/>
        <v>975.31999999999994</v>
      </c>
      <c r="M399" s="127">
        <f>G399-J399</f>
        <v>593.78</v>
      </c>
      <c r="N399" s="167">
        <f>H399-K399</f>
        <v>0</v>
      </c>
      <c r="O399" s="167">
        <f t="shared" si="71"/>
        <v>593.78</v>
      </c>
      <c r="P399" s="178">
        <f>24.57+22.89+12.85+8.67+22.6+31.47+29.2+41.16+46.02+17.72+6.79+64.8+34.46+68.52+24.88+77.21+42.29+51.2+31.99+43.29+139.88+131.47+1.39</f>
        <v>975.31999999999994</v>
      </c>
      <c r="Q399" s="187"/>
      <c r="R399" s="128">
        <v>0.89700000000000002</v>
      </c>
      <c r="S399" s="128">
        <v>1</v>
      </c>
      <c r="T399" s="169">
        <v>78</v>
      </c>
      <c r="U399" s="169">
        <v>78</v>
      </c>
      <c r="V399" s="169">
        <v>0</v>
      </c>
      <c r="W399" s="169">
        <v>0</v>
      </c>
      <c r="X399" s="169">
        <f t="shared" si="72"/>
        <v>78</v>
      </c>
    </row>
    <row r="400" spans="1:24" ht="16.149999999999999" customHeight="1" x14ac:dyDescent="0.2">
      <c r="A400" s="170" t="s">
        <v>501</v>
      </c>
      <c r="B400" s="171">
        <v>43010</v>
      </c>
      <c r="C400" s="199">
        <v>43271</v>
      </c>
      <c r="D400" s="165" t="s">
        <v>565</v>
      </c>
      <c r="E400" s="165"/>
      <c r="F400" s="165" t="s">
        <v>566</v>
      </c>
      <c r="G400" s="167">
        <f>350.45-1.88</f>
        <v>348.57</v>
      </c>
      <c r="H400" s="167">
        <v>0</v>
      </c>
      <c r="I400" s="167">
        <f t="shared" si="67"/>
        <v>348.57</v>
      </c>
      <c r="J400" s="167">
        <f>123.36+106.61+17.83+57.66+13.2+19.65+10.26</f>
        <v>348.57</v>
      </c>
      <c r="K400" s="167">
        <v>0</v>
      </c>
      <c r="L400" s="167">
        <f t="shared" si="68"/>
        <v>348.57</v>
      </c>
      <c r="M400" s="127">
        <f>G400-J400</f>
        <v>0</v>
      </c>
      <c r="N400" s="167">
        <v>0</v>
      </c>
      <c r="O400" s="167">
        <f t="shared" si="71"/>
        <v>0</v>
      </c>
      <c r="P400" s="178" t="s">
        <v>203</v>
      </c>
      <c r="Q400" s="187"/>
      <c r="R400" s="128">
        <v>1</v>
      </c>
      <c r="S400" s="128">
        <v>1</v>
      </c>
      <c r="T400" s="169">
        <v>20</v>
      </c>
      <c r="U400" s="169">
        <v>20</v>
      </c>
      <c r="V400" s="169">
        <v>0</v>
      </c>
      <c r="W400" s="169">
        <v>20</v>
      </c>
      <c r="X400" s="169">
        <f t="shared" si="72"/>
        <v>0</v>
      </c>
    </row>
    <row r="401" spans="1:24" ht="16.149999999999999" customHeight="1" x14ac:dyDescent="0.2">
      <c r="A401" s="212" t="s">
        <v>1338</v>
      </c>
      <c r="B401" s="213" t="s">
        <v>1339</v>
      </c>
      <c r="C401" s="152"/>
      <c r="D401" s="165"/>
      <c r="E401" s="165"/>
      <c r="F401" s="165"/>
      <c r="G401" s="188">
        <v>0</v>
      </c>
      <c r="H401" s="188">
        <f>910.63+9.1</f>
        <v>919.73</v>
      </c>
      <c r="I401" s="188">
        <f t="shared" si="67"/>
        <v>919.73</v>
      </c>
      <c r="J401" s="188">
        <v>0</v>
      </c>
      <c r="K401" s="188">
        <v>3.9990000000000001</v>
      </c>
      <c r="L401" s="188">
        <f t="shared" si="68"/>
        <v>3.9990000000000001</v>
      </c>
      <c r="M401" s="134">
        <f>G401-J401</f>
        <v>0</v>
      </c>
      <c r="N401" s="188">
        <f>H401-K401</f>
        <v>915.73099999999999</v>
      </c>
      <c r="O401" s="188">
        <f t="shared" si="71"/>
        <v>915.73099999999999</v>
      </c>
      <c r="P401" s="214" t="s">
        <v>203</v>
      </c>
      <c r="Q401" s="187"/>
      <c r="R401" s="135">
        <v>0</v>
      </c>
      <c r="S401" s="135">
        <v>1</v>
      </c>
      <c r="T401" s="152">
        <v>0</v>
      </c>
      <c r="U401" s="152" t="s">
        <v>395</v>
      </c>
      <c r="V401" s="152">
        <v>0</v>
      </c>
      <c r="W401" s="152">
        <v>0</v>
      </c>
      <c r="X401" s="152">
        <f t="shared" si="72"/>
        <v>0</v>
      </c>
    </row>
    <row r="402" spans="1:24" ht="16.149999999999999" customHeight="1" x14ac:dyDescent="0.2">
      <c r="A402" s="170" t="s">
        <v>502</v>
      </c>
      <c r="B402" s="171">
        <v>43157</v>
      </c>
      <c r="C402" s="169"/>
      <c r="D402" s="165"/>
      <c r="E402" s="165"/>
      <c r="F402" s="165"/>
      <c r="G402" s="167">
        <v>407.63</v>
      </c>
      <c r="H402" s="167">
        <v>0</v>
      </c>
      <c r="I402" s="167">
        <f t="shared" si="67"/>
        <v>407.63</v>
      </c>
      <c r="J402" s="167">
        <v>407.63</v>
      </c>
      <c r="K402" s="167">
        <v>0</v>
      </c>
      <c r="L402" s="167">
        <f t="shared" si="68"/>
        <v>407.63</v>
      </c>
      <c r="M402" s="127">
        <f>G402-J402</f>
        <v>0</v>
      </c>
      <c r="N402" s="167">
        <f>H402-K402</f>
        <v>0</v>
      </c>
      <c r="O402" s="167">
        <f t="shared" si="71"/>
        <v>0</v>
      </c>
      <c r="P402" s="178" t="s">
        <v>203</v>
      </c>
      <c r="Q402" s="168"/>
      <c r="R402" s="128">
        <v>0</v>
      </c>
      <c r="S402" s="128">
        <v>0</v>
      </c>
      <c r="T402" s="169">
        <v>45</v>
      </c>
      <c r="U402" s="169">
        <v>45</v>
      </c>
      <c r="V402" s="169">
        <v>0</v>
      </c>
      <c r="W402" s="169">
        <v>45</v>
      </c>
      <c r="X402" s="169">
        <v>0</v>
      </c>
    </row>
    <row r="403" spans="1:24" ht="16.149999999999999" customHeight="1" x14ac:dyDescent="0.2">
      <c r="A403" s="170" t="s">
        <v>1340</v>
      </c>
      <c r="B403" s="171" t="s">
        <v>976</v>
      </c>
      <c r="C403" s="169"/>
      <c r="D403" s="169"/>
      <c r="E403" s="169"/>
      <c r="F403" s="169"/>
      <c r="G403" s="167">
        <v>0</v>
      </c>
      <c r="H403" s="167">
        <v>749.08</v>
      </c>
      <c r="I403" s="167">
        <f t="shared" si="67"/>
        <v>749.08</v>
      </c>
      <c r="J403" s="167">
        <v>0</v>
      </c>
      <c r="K403" s="167">
        <v>3.28</v>
      </c>
      <c r="L403" s="167">
        <f t="shared" si="68"/>
        <v>3.28</v>
      </c>
      <c r="M403" s="127">
        <f>G403-J403</f>
        <v>0</v>
      </c>
      <c r="N403" s="167">
        <f>H403-K403</f>
        <v>745.80000000000007</v>
      </c>
      <c r="O403" s="167">
        <f t="shared" si="71"/>
        <v>745.80000000000007</v>
      </c>
      <c r="P403" s="178" t="s">
        <v>203</v>
      </c>
      <c r="Q403" s="187"/>
      <c r="R403" s="128">
        <v>0</v>
      </c>
      <c r="S403" s="128">
        <v>1</v>
      </c>
      <c r="T403" s="169">
        <v>0</v>
      </c>
      <c r="U403" s="169">
        <v>20209</v>
      </c>
      <c r="V403" s="169">
        <v>0</v>
      </c>
      <c r="W403" s="169">
        <v>0</v>
      </c>
      <c r="X403" s="169">
        <f>T403-W403</f>
        <v>0</v>
      </c>
    </row>
    <row r="404" spans="1:24" ht="16.149999999999999" customHeight="1" x14ac:dyDescent="0.2">
      <c r="A404" s="215" t="s">
        <v>25</v>
      </c>
      <c r="B404" s="215"/>
      <c r="C404" s="215"/>
      <c r="D404" s="215"/>
      <c r="E404" s="215"/>
      <c r="F404" s="215"/>
      <c r="G404" s="216">
        <f>SUM(G363:G403)</f>
        <v>26519.424108833999</v>
      </c>
      <c r="H404" s="216">
        <f t="shared" ref="H404:P404" si="73">SUM(H363:H403)</f>
        <v>3774.5880000000002</v>
      </c>
      <c r="I404" s="216">
        <f t="shared" si="73"/>
        <v>30294.012108833998</v>
      </c>
      <c r="J404" s="216">
        <f t="shared" si="73"/>
        <v>24932.731</v>
      </c>
      <c r="K404" s="216">
        <f t="shared" si="73"/>
        <v>1143.2190000000001</v>
      </c>
      <c r="L404" s="216">
        <f t="shared" si="73"/>
        <v>26075.949999999993</v>
      </c>
      <c r="M404" s="216">
        <f t="shared" si="73"/>
        <v>1563.3313868339999</v>
      </c>
      <c r="N404" s="216">
        <f t="shared" si="73"/>
        <v>2631.3690000000001</v>
      </c>
      <c r="O404" s="216">
        <f t="shared" si="73"/>
        <v>4194.7003868339998</v>
      </c>
      <c r="P404" s="216">
        <f t="shared" si="73"/>
        <v>3908.84</v>
      </c>
      <c r="Q404" s="146"/>
      <c r="R404" s="217"/>
      <c r="S404" s="217"/>
      <c r="T404" s="218">
        <f>SUM(T363:T403)</f>
        <v>5060</v>
      </c>
      <c r="U404" s="218">
        <f>SUM(U363:U403)</f>
        <v>28822</v>
      </c>
      <c r="V404" s="218">
        <f>SUM(V363:V403)</f>
        <v>32</v>
      </c>
      <c r="W404" s="218">
        <f>SUM(W363:W403)</f>
        <v>4602</v>
      </c>
      <c r="X404" s="218">
        <f>SUM(X363:X403)</f>
        <v>458</v>
      </c>
    </row>
    <row r="405" spans="1:24" ht="16.149999999999999" customHeight="1" x14ac:dyDescent="0.2">
      <c r="A405" s="155"/>
      <c r="B405" s="156"/>
      <c r="C405" s="156"/>
      <c r="D405" s="156"/>
      <c r="E405" s="156"/>
      <c r="F405" s="156"/>
      <c r="G405" s="187"/>
      <c r="H405" s="187"/>
      <c r="I405" s="187"/>
      <c r="J405" s="187"/>
      <c r="K405" s="187"/>
      <c r="L405" s="146"/>
      <c r="M405" s="126"/>
      <c r="N405" s="146"/>
      <c r="O405" s="146"/>
      <c r="P405" s="146"/>
      <c r="Q405" s="146"/>
      <c r="R405" s="161"/>
      <c r="S405" s="161"/>
      <c r="T405" s="219"/>
      <c r="U405" s="219"/>
      <c r="V405" s="219"/>
      <c r="W405" s="219"/>
      <c r="X405" s="219"/>
    </row>
    <row r="406" spans="1:24" ht="16.149999999999999" customHeight="1" x14ac:dyDescent="0.2">
      <c r="A406" s="220" t="s">
        <v>45</v>
      </c>
      <c r="B406" s="221"/>
      <c r="C406" s="221"/>
      <c r="D406" s="221"/>
      <c r="E406" s="221"/>
      <c r="F406" s="221"/>
      <c r="G406" s="222"/>
      <c r="H406" s="222"/>
      <c r="I406" s="222"/>
      <c r="J406" s="187"/>
      <c r="K406" s="187"/>
      <c r="L406" s="146"/>
      <c r="M406" s="126"/>
      <c r="N406" s="146"/>
      <c r="O406" s="146"/>
      <c r="P406" s="146"/>
      <c r="Q406" s="187"/>
      <c r="R406" s="223"/>
      <c r="S406" s="223"/>
      <c r="T406" s="219"/>
      <c r="U406" s="219"/>
      <c r="V406" s="219"/>
      <c r="W406" s="219"/>
      <c r="X406" s="219"/>
    </row>
    <row r="407" spans="1:24" ht="16.149999999999999" customHeight="1" x14ac:dyDescent="0.2">
      <c r="A407" s="173" t="s">
        <v>977</v>
      </c>
      <c r="B407" s="177" t="s">
        <v>978</v>
      </c>
      <c r="C407" s="171" t="s">
        <v>203</v>
      </c>
      <c r="D407" s="165" t="s">
        <v>203</v>
      </c>
      <c r="E407" s="165" t="s">
        <v>203</v>
      </c>
      <c r="F407" s="165" t="s">
        <v>203</v>
      </c>
      <c r="G407" s="166">
        <f>106.79+222.25+187.46+185.09+147.2+36.17+203.38+178.6+132.98+157.48+61.11</f>
        <v>1618.5099999999998</v>
      </c>
      <c r="H407" s="166">
        <v>0</v>
      </c>
      <c r="I407" s="167">
        <f t="shared" ref="I407:I422" si="74">G407+H407</f>
        <v>1618.5099999999998</v>
      </c>
      <c r="J407" s="167">
        <v>1618.51</v>
      </c>
      <c r="K407" s="167">
        <v>0</v>
      </c>
      <c r="L407" s="167">
        <f t="shared" ref="L407:L417" si="75">J407+K407</f>
        <v>1618.51</v>
      </c>
      <c r="M407" s="127">
        <f t="shared" ref="M407:M422" si="76">G407-J407</f>
        <v>0</v>
      </c>
      <c r="N407" s="167">
        <f t="shared" ref="N407:N422" si="77">H407-K407</f>
        <v>0</v>
      </c>
      <c r="O407" s="167">
        <f t="shared" ref="O407:O422" si="78">M407+N407</f>
        <v>0</v>
      </c>
      <c r="P407" s="184" t="s">
        <v>203</v>
      </c>
      <c r="Q407" s="187"/>
      <c r="R407" s="128">
        <v>1</v>
      </c>
      <c r="S407" s="128">
        <v>1</v>
      </c>
      <c r="T407" s="174">
        <f>13+25+21+20+16+4+22+19+14+16+6</f>
        <v>176</v>
      </c>
      <c r="U407" s="174">
        <f>13+25+21+20+16+4+22+19+14+16+6</f>
        <v>176</v>
      </c>
      <c r="V407" s="174">
        <v>0</v>
      </c>
      <c r="W407" s="169">
        <v>176</v>
      </c>
      <c r="X407" s="169">
        <f t="shared" ref="X407:X417" si="79">T407-W407</f>
        <v>0</v>
      </c>
    </row>
    <row r="408" spans="1:24" ht="16.149999999999999" customHeight="1" x14ac:dyDescent="0.2">
      <c r="A408" s="173" t="s">
        <v>979</v>
      </c>
      <c r="B408" s="177" t="s">
        <v>980</v>
      </c>
      <c r="C408" s="171" t="s">
        <v>203</v>
      </c>
      <c r="D408" s="165" t="s">
        <v>203</v>
      </c>
      <c r="E408" s="165" t="s">
        <v>203</v>
      </c>
      <c r="F408" s="165" t="s">
        <v>203</v>
      </c>
      <c r="G408" s="166">
        <f>237.83+235.47+225.94+210.75+259.51+222.78+210.91+178.64+240.26</f>
        <v>2022.09</v>
      </c>
      <c r="H408" s="166">
        <v>0</v>
      </c>
      <c r="I408" s="167">
        <f t="shared" si="74"/>
        <v>2022.09</v>
      </c>
      <c r="J408" s="167">
        <f>1781.83+228.63+11.62</f>
        <v>2022.08</v>
      </c>
      <c r="K408" s="167">
        <v>0</v>
      </c>
      <c r="L408" s="167">
        <f t="shared" si="75"/>
        <v>2022.08</v>
      </c>
      <c r="M408" s="127">
        <f t="shared" si="76"/>
        <v>9.9999999999909051E-3</v>
      </c>
      <c r="N408" s="167">
        <f t="shared" si="77"/>
        <v>0</v>
      </c>
      <c r="O408" s="167">
        <f t="shared" si="78"/>
        <v>9.9999999999909051E-3</v>
      </c>
      <c r="P408" s="184" t="s">
        <v>203</v>
      </c>
      <c r="Q408" s="187"/>
      <c r="R408" s="128">
        <v>1</v>
      </c>
      <c r="S408" s="128">
        <v>1</v>
      </c>
      <c r="T408" s="174">
        <f>20+20+19+18+22+19+18+15+20</f>
        <v>171</v>
      </c>
      <c r="U408" s="174">
        <f>20+20+19+18+22+19+18+15+20</f>
        <v>171</v>
      </c>
      <c r="V408" s="174">
        <v>0</v>
      </c>
      <c r="W408" s="169">
        <v>171</v>
      </c>
      <c r="X408" s="169">
        <f t="shared" si="79"/>
        <v>0</v>
      </c>
    </row>
    <row r="409" spans="1:24" ht="16.149999999999999" customHeight="1" x14ac:dyDescent="0.2">
      <c r="A409" s="173" t="s">
        <v>981</v>
      </c>
      <c r="B409" s="177" t="s">
        <v>982</v>
      </c>
      <c r="C409" s="171" t="s">
        <v>203</v>
      </c>
      <c r="D409" s="165" t="s">
        <v>203</v>
      </c>
      <c r="E409" s="165" t="s">
        <v>203</v>
      </c>
      <c r="F409" s="165" t="s">
        <v>203</v>
      </c>
      <c r="G409" s="166">
        <f>363.85+180.91+194.32+357.12+388.92+416.95+11+12.82+38.96</f>
        <v>1964.85</v>
      </c>
      <c r="H409" s="166">
        <v>0</v>
      </c>
      <c r="I409" s="167">
        <f t="shared" si="74"/>
        <v>1964.85</v>
      </c>
      <c r="J409" s="166">
        <f>1485.13+416.93+11+12.83+38.96</f>
        <v>1964.8500000000001</v>
      </c>
      <c r="K409" s="167">
        <v>0</v>
      </c>
      <c r="L409" s="167">
        <f t="shared" si="75"/>
        <v>1964.8500000000001</v>
      </c>
      <c r="M409" s="127">
        <f t="shared" si="76"/>
        <v>0</v>
      </c>
      <c r="N409" s="167">
        <f t="shared" si="77"/>
        <v>0</v>
      </c>
      <c r="O409" s="167">
        <f t="shared" si="78"/>
        <v>0</v>
      </c>
      <c r="P409" s="184" t="s">
        <v>203</v>
      </c>
      <c r="Q409" s="187"/>
      <c r="R409" s="128">
        <v>1</v>
      </c>
      <c r="S409" s="128">
        <v>1</v>
      </c>
      <c r="T409" s="174">
        <f>147+3</f>
        <v>150</v>
      </c>
      <c r="U409" s="174">
        <f>147+3</f>
        <v>150</v>
      </c>
      <c r="V409" s="174">
        <v>0</v>
      </c>
      <c r="W409" s="169">
        <v>150</v>
      </c>
      <c r="X409" s="169">
        <f t="shared" si="79"/>
        <v>0</v>
      </c>
    </row>
    <row r="410" spans="1:24" ht="16.149999999999999" customHeight="1" x14ac:dyDescent="0.2">
      <c r="A410" s="173" t="s">
        <v>983</v>
      </c>
      <c r="B410" s="177" t="s">
        <v>984</v>
      </c>
      <c r="C410" s="171" t="s">
        <v>203</v>
      </c>
      <c r="D410" s="165" t="s">
        <v>203</v>
      </c>
      <c r="E410" s="165" t="s">
        <v>203</v>
      </c>
      <c r="F410" s="165" t="s">
        <v>203</v>
      </c>
      <c r="G410" s="166">
        <f>201.03+144.51+128.06+200.19+129.27+202.03+104.1+355.02+34.59+101.61+34.77+22.86+11.76</f>
        <v>1669.7999999999995</v>
      </c>
      <c r="H410" s="166">
        <v>0</v>
      </c>
      <c r="I410" s="167">
        <f t="shared" si="74"/>
        <v>1669.7999999999995</v>
      </c>
      <c r="J410" s="166">
        <f>201.03+144.51+128.06+200.19+129.27+202.03+104.1+355.02+34.59+101.61+34.77+22.86+11.76</f>
        <v>1669.7999999999995</v>
      </c>
      <c r="K410" s="167">
        <v>0</v>
      </c>
      <c r="L410" s="167">
        <f t="shared" si="75"/>
        <v>1669.7999999999995</v>
      </c>
      <c r="M410" s="127">
        <f t="shared" si="76"/>
        <v>0</v>
      </c>
      <c r="N410" s="167">
        <f t="shared" si="77"/>
        <v>0</v>
      </c>
      <c r="O410" s="167">
        <f t="shared" si="78"/>
        <v>0</v>
      </c>
      <c r="P410" s="184" t="s">
        <v>203</v>
      </c>
      <c r="Q410" s="187"/>
      <c r="R410" s="128">
        <v>1</v>
      </c>
      <c r="S410" s="128">
        <v>1</v>
      </c>
      <c r="T410" s="174">
        <f>19+13+12+19+12+18+9+31+3+9+3+2+1</f>
        <v>151</v>
      </c>
      <c r="U410" s="174">
        <f>19+13+12+19+12+18+9+31+3+9+3+2+1</f>
        <v>151</v>
      </c>
      <c r="V410" s="174">
        <v>0</v>
      </c>
      <c r="W410" s="169">
        <v>151</v>
      </c>
      <c r="X410" s="169">
        <f t="shared" si="79"/>
        <v>0</v>
      </c>
    </row>
    <row r="411" spans="1:24" ht="16.149999999999999" customHeight="1" x14ac:dyDescent="0.2">
      <c r="A411" s="173" t="s">
        <v>985</v>
      </c>
      <c r="B411" s="177" t="s">
        <v>986</v>
      </c>
      <c r="C411" s="171">
        <v>40591</v>
      </c>
      <c r="D411" s="165"/>
      <c r="E411" s="165"/>
      <c r="F411" s="165"/>
      <c r="G411" s="166">
        <f>1133.12+72.03-6.49</f>
        <v>1198.6599999999999</v>
      </c>
      <c r="H411" s="166">
        <v>0</v>
      </c>
      <c r="I411" s="167">
        <f t="shared" si="74"/>
        <v>1198.6599999999999</v>
      </c>
      <c r="J411" s="167">
        <f>943.51+140.03+10.17+32.91+72.04</f>
        <v>1198.6600000000001</v>
      </c>
      <c r="K411" s="167">
        <v>0</v>
      </c>
      <c r="L411" s="167">
        <f t="shared" si="75"/>
        <v>1198.6600000000001</v>
      </c>
      <c r="M411" s="127">
        <f t="shared" si="76"/>
        <v>0</v>
      </c>
      <c r="N411" s="167">
        <f t="shared" si="77"/>
        <v>0</v>
      </c>
      <c r="O411" s="167">
        <f t="shared" si="78"/>
        <v>0</v>
      </c>
      <c r="P411" s="184" t="s">
        <v>203</v>
      </c>
      <c r="Q411" s="187"/>
      <c r="R411" s="128">
        <v>1</v>
      </c>
      <c r="S411" s="128">
        <v>0.88</v>
      </c>
      <c r="T411" s="174">
        <f>111+7</f>
        <v>118</v>
      </c>
      <c r="U411" s="174">
        <f>111+7</f>
        <v>118</v>
      </c>
      <c r="V411" s="174">
        <v>0</v>
      </c>
      <c r="W411" s="169">
        <v>118</v>
      </c>
      <c r="X411" s="169">
        <f t="shared" si="79"/>
        <v>0</v>
      </c>
    </row>
    <row r="412" spans="1:24" ht="16.149999999999999" customHeight="1" x14ac:dyDescent="0.2">
      <c r="A412" s="173" t="s">
        <v>987</v>
      </c>
      <c r="B412" s="177">
        <v>40455</v>
      </c>
      <c r="C412" s="171" t="s">
        <v>203</v>
      </c>
      <c r="D412" s="165" t="s">
        <v>203</v>
      </c>
      <c r="E412" s="165" t="s">
        <v>203</v>
      </c>
      <c r="F412" s="165" t="s">
        <v>203</v>
      </c>
      <c r="G412" s="166">
        <v>120.41</v>
      </c>
      <c r="H412" s="166">
        <v>0</v>
      </c>
      <c r="I412" s="167">
        <f t="shared" si="74"/>
        <v>120.41</v>
      </c>
      <c r="J412" s="167">
        <v>120.41</v>
      </c>
      <c r="K412" s="167">
        <v>0</v>
      </c>
      <c r="L412" s="167">
        <f t="shared" si="75"/>
        <v>120.41</v>
      </c>
      <c r="M412" s="127">
        <f t="shared" si="76"/>
        <v>0</v>
      </c>
      <c r="N412" s="167">
        <f t="shared" si="77"/>
        <v>0</v>
      </c>
      <c r="O412" s="167">
        <f t="shared" si="78"/>
        <v>0</v>
      </c>
      <c r="P412" s="184" t="s">
        <v>203</v>
      </c>
      <c r="Q412" s="187"/>
      <c r="R412" s="128">
        <v>1</v>
      </c>
      <c r="S412" s="128">
        <v>1</v>
      </c>
      <c r="T412" s="174">
        <v>9</v>
      </c>
      <c r="U412" s="174">
        <v>9</v>
      </c>
      <c r="V412" s="174">
        <v>0</v>
      </c>
      <c r="W412" s="169">
        <v>9</v>
      </c>
      <c r="X412" s="169">
        <f t="shared" si="79"/>
        <v>0</v>
      </c>
    </row>
    <row r="413" spans="1:24" ht="16.149999999999999" customHeight="1" x14ac:dyDescent="0.2">
      <c r="A413" s="173" t="s">
        <v>988</v>
      </c>
      <c r="B413" s="177" t="s">
        <v>989</v>
      </c>
      <c r="C413" s="171" t="s">
        <v>203</v>
      </c>
      <c r="D413" s="165" t="s">
        <v>203</v>
      </c>
      <c r="E413" s="165" t="s">
        <v>203</v>
      </c>
      <c r="F413" s="165" t="s">
        <v>203</v>
      </c>
      <c r="G413" s="166">
        <f>877.85+124.71+80.69+64.72</f>
        <v>1147.97</v>
      </c>
      <c r="H413" s="166">
        <v>0</v>
      </c>
      <c r="I413" s="167">
        <f t="shared" si="74"/>
        <v>1147.97</v>
      </c>
      <c r="J413" s="167">
        <f>823.01+118.27+48.43+12.85+55.89+77.82+11.7</f>
        <v>1147.97</v>
      </c>
      <c r="K413" s="167">
        <v>0</v>
      </c>
      <c r="L413" s="167">
        <f t="shared" si="75"/>
        <v>1147.97</v>
      </c>
      <c r="M413" s="127">
        <f t="shared" si="76"/>
        <v>0</v>
      </c>
      <c r="N413" s="167">
        <f t="shared" si="77"/>
        <v>0</v>
      </c>
      <c r="O413" s="167">
        <f t="shared" si="78"/>
        <v>0</v>
      </c>
      <c r="P413" s="184" t="s">
        <v>203</v>
      </c>
      <c r="Q413" s="187"/>
      <c r="R413" s="128">
        <v>1</v>
      </c>
      <c r="S413" s="128">
        <v>1</v>
      </c>
      <c r="T413" s="174">
        <f>69+10+6+5</f>
        <v>90</v>
      </c>
      <c r="U413" s="174">
        <f>69+10+6+5</f>
        <v>90</v>
      </c>
      <c r="V413" s="174">
        <v>0</v>
      </c>
      <c r="W413" s="169">
        <v>90</v>
      </c>
      <c r="X413" s="169">
        <f t="shared" si="79"/>
        <v>0</v>
      </c>
    </row>
    <row r="414" spans="1:24" ht="16.149999999999999" customHeight="1" x14ac:dyDescent="0.2">
      <c r="A414" s="173" t="s">
        <v>990</v>
      </c>
      <c r="B414" s="177">
        <v>41561</v>
      </c>
      <c r="C414" s="171" t="s">
        <v>203</v>
      </c>
      <c r="D414" s="165" t="s">
        <v>203</v>
      </c>
      <c r="E414" s="165" t="s">
        <v>203</v>
      </c>
      <c r="F414" s="165" t="s">
        <v>203</v>
      </c>
      <c r="G414" s="166">
        <v>89.77</v>
      </c>
      <c r="H414" s="166">
        <v>0</v>
      </c>
      <c r="I414" s="167">
        <f t="shared" si="74"/>
        <v>89.77</v>
      </c>
      <c r="J414" s="167">
        <f>74.31+15.46</f>
        <v>89.77000000000001</v>
      </c>
      <c r="K414" s="167">
        <v>0</v>
      </c>
      <c r="L414" s="167">
        <f t="shared" si="75"/>
        <v>89.77000000000001</v>
      </c>
      <c r="M414" s="127">
        <f t="shared" si="76"/>
        <v>0</v>
      </c>
      <c r="N414" s="167">
        <f t="shared" si="77"/>
        <v>0</v>
      </c>
      <c r="O414" s="167">
        <f t="shared" si="78"/>
        <v>0</v>
      </c>
      <c r="P414" s="184" t="s">
        <v>203</v>
      </c>
      <c r="Q414" s="187"/>
      <c r="R414" s="128">
        <v>1</v>
      </c>
      <c r="S414" s="128">
        <v>0</v>
      </c>
      <c r="T414" s="174">
        <v>8</v>
      </c>
      <c r="U414" s="174">
        <v>8</v>
      </c>
      <c r="V414" s="174">
        <v>0</v>
      </c>
      <c r="W414" s="169">
        <v>8</v>
      </c>
      <c r="X414" s="169">
        <f t="shared" si="79"/>
        <v>0</v>
      </c>
    </row>
    <row r="415" spans="1:24" ht="16.149999999999999" customHeight="1" x14ac:dyDescent="0.2">
      <c r="A415" s="173" t="s">
        <v>352</v>
      </c>
      <c r="B415" s="177" t="s">
        <v>405</v>
      </c>
      <c r="C415" s="171">
        <v>42467</v>
      </c>
      <c r="D415" s="165" t="s">
        <v>203</v>
      </c>
      <c r="E415" s="165" t="s">
        <v>203</v>
      </c>
      <c r="F415" s="165" t="s">
        <v>203</v>
      </c>
      <c r="G415" s="166">
        <f>760.99-91.01+78.4-2.7</f>
        <v>745.68</v>
      </c>
      <c r="H415" s="166">
        <v>0</v>
      </c>
      <c r="I415" s="167">
        <f t="shared" si="74"/>
        <v>745.68</v>
      </c>
      <c r="J415" s="167">
        <f>57.99+10.45+81.39+76.62+73.54+69.56+24.64+135.98+2.95+38.71+35.5+1.49+27.29+10.8+13.46+14.3+56.27+12.46+2.28</f>
        <v>745.68</v>
      </c>
      <c r="K415" s="167">
        <v>0</v>
      </c>
      <c r="L415" s="167">
        <f t="shared" si="75"/>
        <v>745.68</v>
      </c>
      <c r="M415" s="127">
        <f t="shared" si="76"/>
        <v>0</v>
      </c>
      <c r="N415" s="167">
        <f t="shared" si="77"/>
        <v>0</v>
      </c>
      <c r="O415" s="167">
        <f t="shared" si="78"/>
        <v>0</v>
      </c>
      <c r="P415" s="184" t="s">
        <v>203</v>
      </c>
      <c r="Q415" s="187"/>
      <c r="R415" s="128">
        <v>1</v>
      </c>
      <c r="S415" s="128">
        <v>1</v>
      </c>
      <c r="T415" s="174">
        <f>49+5</f>
        <v>54</v>
      </c>
      <c r="U415" s="174">
        <v>49</v>
      </c>
      <c r="V415" s="174">
        <v>0</v>
      </c>
      <c r="W415" s="169">
        <v>54</v>
      </c>
      <c r="X415" s="169">
        <f t="shared" si="79"/>
        <v>0</v>
      </c>
    </row>
    <row r="416" spans="1:24" ht="16.149999999999999" customHeight="1" x14ac:dyDescent="0.2">
      <c r="A416" s="173" t="s">
        <v>432</v>
      </c>
      <c r="B416" s="177">
        <v>42674</v>
      </c>
      <c r="C416" s="171">
        <v>43137</v>
      </c>
      <c r="D416" s="165"/>
      <c r="E416" s="165"/>
      <c r="F416" s="165"/>
      <c r="G416" s="166">
        <f>824.64-7.81</f>
        <v>816.83</v>
      </c>
      <c r="H416" s="166">
        <v>0</v>
      </c>
      <c r="I416" s="167">
        <f t="shared" si="74"/>
        <v>816.83</v>
      </c>
      <c r="J416" s="167">
        <f>177.81+48.22+33.15+138.18+49.48+55.52+36.15+71.52+26.82+60.52+9.84+30.55+12.41+2.72+16.77+3.58+6.37+25.68+8.4+2.39+0.22+0.53</f>
        <v>816.82999999999993</v>
      </c>
      <c r="K416" s="167">
        <v>0</v>
      </c>
      <c r="L416" s="167">
        <f t="shared" si="75"/>
        <v>816.82999999999993</v>
      </c>
      <c r="M416" s="127">
        <f t="shared" si="76"/>
        <v>0</v>
      </c>
      <c r="N416" s="167">
        <f t="shared" si="77"/>
        <v>0</v>
      </c>
      <c r="O416" s="167">
        <f t="shared" si="78"/>
        <v>0</v>
      </c>
      <c r="P416" s="184" t="s">
        <v>203</v>
      </c>
      <c r="Q416" s="187"/>
      <c r="R416" s="128">
        <v>1</v>
      </c>
      <c r="S416" s="128">
        <v>1</v>
      </c>
      <c r="T416" s="174">
        <v>36</v>
      </c>
      <c r="U416" s="174">
        <v>36</v>
      </c>
      <c r="V416" s="174">
        <v>0</v>
      </c>
      <c r="W416" s="169">
        <v>36</v>
      </c>
      <c r="X416" s="169">
        <f t="shared" si="79"/>
        <v>0</v>
      </c>
    </row>
    <row r="417" spans="1:24" ht="16.149999999999999" customHeight="1" x14ac:dyDescent="0.2">
      <c r="A417" s="173" t="s">
        <v>433</v>
      </c>
      <c r="B417" s="177">
        <v>42725</v>
      </c>
      <c r="C417" s="171"/>
      <c r="D417" s="165"/>
      <c r="E417" s="165"/>
      <c r="F417" s="165"/>
      <c r="G417" s="166">
        <f>386.24-9.88</f>
        <v>376.36</v>
      </c>
      <c r="H417" s="166">
        <v>0</v>
      </c>
      <c r="I417" s="167">
        <f t="shared" si="74"/>
        <v>376.36</v>
      </c>
      <c r="J417" s="167">
        <f>59.55+20.6+3.23+19.86+32.03+15.68+36.88+18.12+9.34+29.44+12.59+81.82+9.75+2.89+7.93+3.23+10.68+2.74</f>
        <v>376.36</v>
      </c>
      <c r="K417" s="167">
        <v>0</v>
      </c>
      <c r="L417" s="167">
        <f t="shared" si="75"/>
        <v>376.36</v>
      </c>
      <c r="M417" s="127">
        <f t="shared" si="76"/>
        <v>0</v>
      </c>
      <c r="N417" s="167">
        <f t="shared" si="77"/>
        <v>0</v>
      </c>
      <c r="O417" s="167">
        <f t="shared" si="78"/>
        <v>0</v>
      </c>
      <c r="P417" s="184" t="s">
        <v>203</v>
      </c>
      <c r="Q417" s="187"/>
      <c r="R417" s="128">
        <v>1</v>
      </c>
      <c r="S417" s="128">
        <v>1</v>
      </c>
      <c r="T417" s="174">
        <v>25</v>
      </c>
      <c r="U417" s="174">
        <v>25</v>
      </c>
      <c r="V417" s="174">
        <v>0</v>
      </c>
      <c r="W417" s="169">
        <v>25</v>
      </c>
      <c r="X417" s="169">
        <f t="shared" si="79"/>
        <v>0</v>
      </c>
    </row>
    <row r="418" spans="1:24" ht="16.149999999999999" customHeight="1" x14ac:dyDescent="0.2">
      <c r="A418" s="173" t="s">
        <v>453</v>
      </c>
      <c r="B418" s="177">
        <v>42782</v>
      </c>
      <c r="C418" s="171">
        <v>43066</v>
      </c>
      <c r="D418" s="165"/>
      <c r="E418" s="165"/>
      <c r="F418" s="165"/>
      <c r="G418" s="166">
        <f>301.88-4.2</f>
        <v>297.68</v>
      </c>
      <c r="H418" s="166">
        <v>0</v>
      </c>
      <c r="I418" s="167">
        <f t="shared" si="74"/>
        <v>297.68</v>
      </c>
      <c r="J418" s="167">
        <f>93.63+31.7+34.4+29.22+62.77+10.27+12.76+4.45+6.42+1.06+2.92+7.12+0.96</f>
        <v>297.68</v>
      </c>
      <c r="K418" s="167">
        <v>0</v>
      </c>
      <c r="L418" s="167">
        <f>J418+K418</f>
        <v>297.68</v>
      </c>
      <c r="M418" s="127">
        <f t="shared" si="76"/>
        <v>0</v>
      </c>
      <c r="N418" s="167">
        <f t="shared" si="77"/>
        <v>0</v>
      </c>
      <c r="O418" s="167">
        <f t="shared" si="78"/>
        <v>0</v>
      </c>
      <c r="P418" s="184" t="s">
        <v>203</v>
      </c>
      <c r="Q418" s="187"/>
      <c r="R418" s="128">
        <v>1</v>
      </c>
      <c r="S418" s="128">
        <v>0.95938000000000001</v>
      </c>
      <c r="T418" s="174">
        <v>14</v>
      </c>
      <c r="U418" s="174">
        <v>14</v>
      </c>
      <c r="V418" s="174">
        <v>0</v>
      </c>
      <c r="W418" s="169">
        <v>14</v>
      </c>
      <c r="X418" s="169">
        <f>T418-W418</f>
        <v>0</v>
      </c>
    </row>
    <row r="419" spans="1:24" ht="16.149999999999999" customHeight="1" x14ac:dyDescent="0.2">
      <c r="A419" s="173" t="s">
        <v>503</v>
      </c>
      <c r="B419" s="177">
        <v>43066</v>
      </c>
      <c r="C419" s="171">
        <v>43564</v>
      </c>
      <c r="D419" s="165"/>
      <c r="E419" s="165"/>
      <c r="F419" s="165"/>
      <c r="G419" s="166">
        <f>609.24-1.3679</f>
        <v>607.87210000000005</v>
      </c>
      <c r="H419" s="166">
        <v>0</v>
      </c>
      <c r="I419" s="167">
        <f t="shared" si="74"/>
        <v>607.87210000000005</v>
      </c>
      <c r="J419" s="167">
        <f>138.34+48.32+5.04+36.21+38.12+29.16+21.04+34.63+21.44+59.05+6.07+27.29+10.56+33.92+26.67+16.15+21.18+10.11+1.302059+1.07+15.37+3.59+3.24</f>
        <v>607.87205900000004</v>
      </c>
      <c r="K419" s="167">
        <v>0</v>
      </c>
      <c r="L419" s="167">
        <f>J419+K419</f>
        <v>607.87205900000004</v>
      </c>
      <c r="M419" s="127">
        <f t="shared" si="76"/>
        <v>4.1000000010171789E-5</v>
      </c>
      <c r="N419" s="167">
        <f t="shared" si="77"/>
        <v>0</v>
      </c>
      <c r="O419" s="167">
        <f t="shared" si="78"/>
        <v>4.1000000010171789E-5</v>
      </c>
      <c r="P419" s="184" t="s">
        <v>203</v>
      </c>
      <c r="Q419" s="187"/>
      <c r="R419" s="128">
        <v>1</v>
      </c>
      <c r="S419" s="128">
        <v>0.95099999999999996</v>
      </c>
      <c r="T419" s="174">
        <v>27</v>
      </c>
      <c r="U419" s="174">
        <v>27</v>
      </c>
      <c r="V419" s="174">
        <v>0</v>
      </c>
      <c r="W419" s="169">
        <v>27</v>
      </c>
      <c r="X419" s="169">
        <f>T419-W419</f>
        <v>0</v>
      </c>
    </row>
    <row r="420" spans="1:24" ht="16.149999999999999" customHeight="1" x14ac:dyDescent="0.2">
      <c r="A420" s="173" t="s">
        <v>567</v>
      </c>
      <c r="B420" s="177">
        <v>43346</v>
      </c>
      <c r="C420" s="171">
        <v>43816</v>
      </c>
      <c r="D420" s="165"/>
      <c r="E420" s="165"/>
      <c r="F420" s="165"/>
      <c r="G420" s="166">
        <f>226.22+147.56-0.55</f>
        <v>373.22999999999996</v>
      </c>
      <c r="H420" s="166">
        <v>0</v>
      </c>
      <c r="I420" s="167">
        <f t="shared" si="74"/>
        <v>373.22999999999996</v>
      </c>
      <c r="J420" s="167">
        <f>55.66+3.16+31.92+29.38+71.63+45.44+61.32+19.82+19.31+12.59+10.56+10.32+2.12</f>
        <v>373.22999999999996</v>
      </c>
      <c r="K420" s="167">
        <v>0</v>
      </c>
      <c r="L420" s="167">
        <f>J420+K420</f>
        <v>373.22999999999996</v>
      </c>
      <c r="M420" s="127">
        <f t="shared" si="76"/>
        <v>0</v>
      </c>
      <c r="N420" s="167">
        <f t="shared" si="77"/>
        <v>0</v>
      </c>
      <c r="O420" s="167">
        <f t="shared" si="78"/>
        <v>0</v>
      </c>
      <c r="P420" s="184" t="s">
        <v>203</v>
      </c>
      <c r="Q420" s="187"/>
      <c r="R420" s="128">
        <v>1</v>
      </c>
      <c r="S420" s="128">
        <v>0.97199999999999998</v>
      </c>
      <c r="T420" s="174">
        <f>10+7</f>
        <v>17</v>
      </c>
      <c r="U420" s="174">
        <f>10+7</f>
        <v>17</v>
      </c>
      <c r="V420" s="174">
        <v>0</v>
      </c>
      <c r="W420" s="169">
        <v>17</v>
      </c>
      <c r="X420" s="169">
        <f>T420-W420</f>
        <v>0</v>
      </c>
    </row>
    <row r="421" spans="1:24" ht="16.149999999999999" customHeight="1" x14ac:dyDescent="0.2">
      <c r="A421" s="173" t="s">
        <v>568</v>
      </c>
      <c r="B421" s="177">
        <v>43437</v>
      </c>
      <c r="C421" s="171">
        <v>43835</v>
      </c>
      <c r="D421" s="165"/>
      <c r="E421" s="165"/>
      <c r="F421" s="165"/>
      <c r="G421" s="166">
        <f>270.79-0.2</f>
        <v>270.59000000000003</v>
      </c>
      <c r="H421" s="166">
        <v>0</v>
      </c>
      <c r="I421" s="167">
        <f t="shared" si="74"/>
        <v>270.59000000000003</v>
      </c>
      <c r="J421" s="167">
        <f>85.69+41.87+14.47+32.44+18.54+20.6+23.99+21.03+3.81+6.9+1.25</f>
        <v>270.58999999999997</v>
      </c>
      <c r="K421" s="167">
        <v>0</v>
      </c>
      <c r="L421" s="167">
        <f>J421+K421</f>
        <v>270.58999999999997</v>
      </c>
      <c r="M421" s="127">
        <f t="shared" si="76"/>
        <v>0</v>
      </c>
      <c r="N421" s="167">
        <f t="shared" si="77"/>
        <v>0</v>
      </c>
      <c r="O421" s="167">
        <f t="shared" si="78"/>
        <v>0</v>
      </c>
      <c r="P421" s="184" t="s">
        <v>203</v>
      </c>
      <c r="Q421" s="187"/>
      <c r="R421" s="128">
        <v>1</v>
      </c>
      <c r="S421" s="128">
        <v>1</v>
      </c>
      <c r="T421" s="174">
        <v>12</v>
      </c>
      <c r="U421" s="174">
        <v>12</v>
      </c>
      <c r="V421" s="174">
        <v>0</v>
      </c>
      <c r="W421" s="169">
        <v>12</v>
      </c>
      <c r="X421" s="169">
        <f>T421-W421</f>
        <v>0</v>
      </c>
    </row>
    <row r="422" spans="1:24" ht="16.149999999999999" customHeight="1" x14ac:dyDescent="0.2">
      <c r="A422" s="173" t="s">
        <v>1341</v>
      </c>
      <c r="B422" s="177">
        <v>44095</v>
      </c>
      <c r="C422" s="171">
        <v>44555</v>
      </c>
      <c r="D422" s="165"/>
      <c r="E422" s="165"/>
      <c r="F422" s="165"/>
      <c r="G422" s="166">
        <f>732.35620592-4.54</f>
        <v>727.81620592000002</v>
      </c>
      <c r="H422" s="166">
        <v>0</v>
      </c>
      <c r="I422" s="167">
        <f t="shared" si="74"/>
        <v>727.81620592000002</v>
      </c>
      <c r="J422" s="167">
        <f>293.52+19.19+39.93+35.3+40.93+41.79</f>
        <v>470.66</v>
      </c>
      <c r="K422" s="167">
        <v>0</v>
      </c>
      <c r="L422" s="167">
        <f>J422+K422</f>
        <v>470.66</v>
      </c>
      <c r="M422" s="127">
        <f t="shared" si="76"/>
        <v>257.15620591999999</v>
      </c>
      <c r="N422" s="167">
        <f t="shared" si="77"/>
        <v>0</v>
      </c>
      <c r="O422" s="167">
        <f t="shared" si="78"/>
        <v>257.15620591999999</v>
      </c>
      <c r="P422" s="184" t="s">
        <v>203</v>
      </c>
      <c r="Q422" s="187"/>
      <c r="R422" s="128">
        <v>1</v>
      </c>
      <c r="S422" s="128">
        <v>0</v>
      </c>
      <c r="T422" s="174">
        <v>30</v>
      </c>
      <c r="U422" s="174">
        <v>30</v>
      </c>
      <c r="V422" s="174">
        <v>0</v>
      </c>
      <c r="W422" s="169">
        <v>30</v>
      </c>
      <c r="X422" s="169">
        <f>T422-W422</f>
        <v>0</v>
      </c>
    </row>
    <row r="423" spans="1:24" ht="16.149999999999999" customHeight="1" x14ac:dyDescent="0.2">
      <c r="A423" s="189" t="s">
        <v>46</v>
      </c>
      <c r="B423" s="189"/>
      <c r="C423" s="189"/>
      <c r="D423" s="189"/>
      <c r="E423" s="189"/>
      <c r="F423" s="189"/>
      <c r="G423" s="190">
        <f>SUM(G407:G422)</f>
        <v>14048.118305919999</v>
      </c>
      <c r="H423" s="190">
        <f t="shared" ref="H423:P423" si="80">SUM(H407:H422)</f>
        <v>0</v>
      </c>
      <c r="I423" s="190">
        <f t="shared" si="80"/>
        <v>14048.118305919999</v>
      </c>
      <c r="J423" s="190">
        <f t="shared" si="80"/>
        <v>13790.952058999999</v>
      </c>
      <c r="K423" s="190">
        <f t="shared" si="80"/>
        <v>0</v>
      </c>
      <c r="L423" s="190">
        <f t="shared" si="80"/>
        <v>13790.952058999999</v>
      </c>
      <c r="M423" s="190">
        <f t="shared" si="80"/>
        <v>257.16624691999999</v>
      </c>
      <c r="N423" s="190">
        <f t="shared" si="80"/>
        <v>0</v>
      </c>
      <c r="O423" s="190">
        <f t="shared" si="80"/>
        <v>257.16624691999999</v>
      </c>
      <c r="P423" s="190">
        <f t="shared" si="80"/>
        <v>0</v>
      </c>
      <c r="Q423" s="187"/>
      <c r="R423" s="128"/>
      <c r="S423" s="128"/>
      <c r="T423" s="224">
        <f>SUM(T407:T422)</f>
        <v>1088</v>
      </c>
      <c r="U423" s="224">
        <f>SUM(U407:U422)</f>
        <v>1083</v>
      </c>
      <c r="V423" s="224">
        <f>SUM(V407:V422)</f>
        <v>0</v>
      </c>
      <c r="W423" s="224">
        <f>SUM(W407:W422)</f>
        <v>1088</v>
      </c>
      <c r="X423" s="224">
        <f>SUM(X407:X422)</f>
        <v>0</v>
      </c>
    </row>
    <row r="424" spans="1:24" ht="16.149999999999999" customHeight="1" x14ac:dyDescent="0.2">
      <c r="A424" s="155"/>
      <c r="B424" s="156"/>
      <c r="C424" s="156"/>
      <c r="D424" s="156"/>
      <c r="E424" s="156"/>
      <c r="F424" s="156"/>
      <c r="G424" s="156"/>
      <c r="H424" s="156"/>
      <c r="I424" s="156"/>
      <c r="J424" s="156"/>
      <c r="K424" s="156"/>
      <c r="L424" s="146"/>
      <c r="M424" s="126"/>
      <c r="N424" s="146"/>
      <c r="O424" s="146"/>
      <c r="P424" s="146"/>
      <c r="Q424" s="146"/>
      <c r="R424" s="161"/>
      <c r="S424" s="161"/>
      <c r="T424" s="219"/>
      <c r="U424" s="219"/>
      <c r="V424" s="219"/>
      <c r="W424" s="219"/>
      <c r="X424" s="219"/>
    </row>
    <row r="425" spans="1:24" ht="16.149999999999999" customHeight="1" x14ac:dyDescent="0.2">
      <c r="A425" s="220" t="s">
        <v>259</v>
      </c>
      <c r="B425" s="156"/>
      <c r="C425" s="156"/>
      <c r="D425" s="156"/>
      <c r="E425" s="156"/>
      <c r="F425" s="156"/>
      <c r="G425" s="156"/>
      <c r="H425" s="156"/>
      <c r="I425" s="156"/>
      <c r="J425" s="156"/>
      <c r="K425" s="156"/>
      <c r="L425" s="146"/>
      <c r="M425" s="126"/>
      <c r="N425" s="146"/>
      <c r="O425" s="146"/>
      <c r="P425" s="146"/>
      <c r="Q425" s="146"/>
      <c r="R425" s="161"/>
      <c r="S425" s="161"/>
      <c r="T425" s="219"/>
      <c r="U425" s="219"/>
      <c r="V425" s="219"/>
      <c r="W425" s="219"/>
      <c r="X425" s="219"/>
    </row>
    <row r="426" spans="1:24" ht="16.149999999999999" customHeight="1" x14ac:dyDescent="0.2">
      <c r="A426" s="173" t="s">
        <v>991</v>
      </c>
      <c r="B426" s="171">
        <v>37244</v>
      </c>
      <c r="C426" s="171">
        <v>37609</v>
      </c>
      <c r="D426" s="171"/>
      <c r="E426" s="171"/>
      <c r="F426" s="167"/>
      <c r="G426" s="167">
        <v>411.73</v>
      </c>
      <c r="H426" s="167">
        <v>0</v>
      </c>
      <c r="I426" s="167">
        <f t="shared" ref="I426:I452" si="81">G426+H426</f>
        <v>411.73</v>
      </c>
      <c r="J426" s="167">
        <v>411.73</v>
      </c>
      <c r="K426" s="167">
        <v>0</v>
      </c>
      <c r="L426" s="167">
        <f t="shared" ref="L426:L452" si="82">J426+K426</f>
        <v>411.73</v>
      </c>
      <c r="M426" s="127">
        <f t="shared" ref="M426:M452" si="83">G426-J426</f>
        <v>0</v>
      </c>
      <c r="N426" s="167">
        <f t="shared" ref="N426:N452" si="84">H426-K426</f>
        <v>0</v>
      </c>
      <c r="O426" s="167">
        <f t="shared" ref="O426:O452" si="85">M426+N426</f>
        <v>0</v>
      </c>
      <c r="P426" s="167">
        <v>0</v>
      </c>
      <c r="Q426" s="146"/>
      <c r="R426" s="172">
        <v>1</v>
      </c>
      <c r="S426" s="172">
        <v>1</v>
      </c>
      <c r="T426" s="169">
        <v>151</v>
      </c>
      <c r="U426" s="169">
        <v>151</v>
      </c>
      <c r="V426" s="169">
        <v>0</v>
      </c>
      <c r="W426" s="169">
        <v>151</v>
      </c>
      <c r="X426" s="169">
        <f t="shared" ref="X426:X452" si="86">T426-W426</f>
        <v>0</v>
      </c>
    </row>
    <row r="427" spans="1:24" ht="16.149999999999999" customHeight="1" x14ac:dyDescent="0.2">
      <c r="A427" s="170" t="s">
        <v>26</v>
      </c>
      <c r="B427" s="171">
        <v>37694</v>
      </c>
      <c r="C427" s="171">
        <v>37885</v>
      </c>
      <c r="D427" s="165"/>
      <c r="E427" s="165"/>
      <c r="F427" s="165">
        <v>39629</v>
      </c>
      <c r="G427" s="167">
        <v>414.69</v>
      </c>
      <c r="H427" s="166">
        <v>0</v>
      </c>
      <c r="I427" s="167">
        <f t="shared" si="81"/>
        <v>414.69</v>
      </c>
      <c r="J427" s="167">
        <v>381.16</v>
      </c>
      <c r="K427" s="166">
        <v>0</v>
      </c>
      <c r="L427" s="167">
        <f t="shared" si="82"/>
        <v>381.16</v>
      </c>
      <c r="M427" s="127">
        <f t="shared" si="83"/>
        <v>33.529999999999973</v>
      </c>
      <c r="N427" s="167">
        <f t="shared" si="84"/>
        <v>0</v>
      </c>
      <c r="O427" s="167">
        <f t="shared" si="85"/>
        <v>33.529999999999973</v>
      </c>
      <c r="P427" s="167">
        <f>8.54-1.68</f>
        <v>6.8599999999999994</v>
      </c>
      <c r="Q427" s="187"/>
      <c r="R427" s="172">
        <v>1</v>
      </c>
      <c r="S427" s="172">
        <v>0.96</v>
      </c>
      <c r="T427" s="169">
        <v>109</v>
      </c>
      <c r="U427" s="169">
        <v>109</v>
      </c>
      <c r="V427" s="169">
        <v>0</v>
      </c>
      <c r="W427" s="169">
        <v>107</v>
      </c>
      <c r="X427" s="169">
        <f t="shared" si="86"/>
        <v>2</v>
      </c>
    </row>
    <row r="428" spans="1:24" ht="16.149999999999999" customHeight="1" x14ac:dyDescent="0.2">
      <c r="A428" s="170" t="s">
        <v>992</v>
      </c>
      <c r="B428" s="171">
        <v>37880</v>
      </c>
      <c r="C428" s="171" t="s">
        <v>203</v>
      </c>
      <c r="D428" s="165"/>
      <c r="E428" s="165"/>
      <c r="F428" s="165" t="s">
        <v>203</v>
      </c>
      <c r="G428" s="167">
        <f>203.38-0.1</f>
        <v>203.28</v>
      </c>
      <c r="H428" s="166">
        <v>0</v>
      </c>
      <c r="I428" s="167">
        <f t="shared" si="81"/>
        <v>203.28</v>
      </c>
      <c r="J428" s="167">
        <v>203.28</v>
      </c>
      <c r="K428" s="166">
        <v>0</v>
      </c>
      <c r="L428" s="167">
        <f t="shared" si="82"/>
        <v>203.28</v>
      </c>
      <c r="M428" s="127">
        <f t="shared" si="83"/>
        <v>0</v>
      </c>
      <c r="N428" s="167">
        <f t="shared" si="84"/>
        <v>0</v>
      </c>
      <c r="O428" s="167">
        <f t="shared" si="85"/>
        <v>0</v>
      </c>
      <c r="P428" s="184" t="s">
        <v>203</v>
      </c>
      <c r="Q428" s="187"/>
      <c r="R428" s="172">
        <v>1</v>
      </c>
      <c r="S428" s="172">
        <v>1</v>
      </c>
      <c r="T428" s="169">
        <v>60</v>
      </c>
      <c r="U428" s="169">
        <v>60</v>
      </c>
      <c r="V428" s="169">
        <v>0</v>
      </c>
      <c r="W428" s="169">
        <v>60</v>
      </c>
      <c r="X428" s="169">
        <f t="shared" si="86"/>
        <v>0</v>
      </c>
    </row>
    <row r="429" spans="1:24" ht="16.149999999999999" customHeight="1" x14ac:dyDescent="0.2">
      <c r="A429" s="170" t="s">
        <v>993</v>
      </c>
      <c r="B429" s="171" t="s">
        <v>994</v>
      </c>
      <c r="C429" s="171" t="s">
        <v>203</v>
      </c>
      <c r="D429" s="165"/>
      <c r="E429" s="165"/>
      <c r="F429" s="165" t="s">
        <v>203</v>
      </c>
      <c r="G429" s="167">
        <f>337.9+24.85</f>
        <v>362.75</v>
      </c>
      <c r="H429" s="166">
        <v>0</v>
      </c>
      <c r="I429" s="167">
        <f t="shared" si="81"/>
        <v>362.75</v>
      </c>
      <c r="J429" s="167">
        <f>348.55+3.55+3.55+3.55+3.55</f>
        <v>362.75000000000006</v>
      </c>
      <c r="K429" s="166">
        <v>0</v>
      </c>
      <c r="L429" s="167">
        <f t="shared" si="82"/>
        <v>362.75000000000006</v>
      </c>
      <c r="M429" s="127">
        <f t="shared" si="83"/>
        <v>0</v>
      </c>
      <c r="N429" s="167">
        <f t="shared" si="84"/>
        <v>0</v>
      </c>
      <c r="O429" s="167">
        <f t="shared" si="85"/>
        <v>0</v>
      </c>
      <c r="P429" s="184" t="s">
        <v>203</v>
      </c>
      <c r="Q429" s="187"/>
      <c r="R429" s="172">
        <v>1</v>
      </c>
      <c r="S429" s="172">
        <v>1</v>
      </c>
      <c r="T429" s="169">
        <v>107</v>
      </c>
      <c r="U429" s="169">
        <v>107</v>
      </c>
      <c r="V429" s="169">
        <v>0</v>
      </c>
      <c r="W429" s="169">
        <v>107</v>
      </c>
      <c r="X429" s="169">
        <f t="shared" si="86"/>
        <v>0</v>
      </c>
    </row>
    <row r="430" spans="1:24" ht="16.149999999999999" customHeight="1" x14ac:dyDescent="0.2">
      <c r="A430" s="170" t="s">
        <v>995</v>
      </c>
      <c r="B430" s="171">
        <v>37902</v>
      </c>
      <c r="C430" s="171" t="s">
        <v>203</v>
      </c>
      <c r="D430" s="165"/>
      <c r="E430" s="165"/>
      <c r="F430" s="165" t="s">
        <v>203</v>
      </c>
      <c r="G430" s="167">
        <f>310.7+19-7.52</f>
        <v>322.18</v>
      </c>
      <c r="H430" s="166">
        <v>0</v>
      </c>
      <c r="I430" s="167">
        <f t="shared" si="81"/>
        <v>322.18</v>
      </c>
      <c r="J430" s="167">
        <v>322.18</v>
      </c>
      <c r="K430" s="166">
        <v>0</v>
      </c>
      <c r="L430" s="167">
        <f t="shared" si="82"/>
        <v>322.18</v>
      </c>
      <c r="M430" s="127">
        <f t="shared" si="83"/>
        <v>0</v>
      </c>
      <c r="N430" s="167">
        <f t="shared" si="84"/>
        <v>0</v>
      </c>
      <c r="O430" s="167">
        <f t="shared" si="85"/>
        <v>0</v>
      </c>
      <c r="P430" s="184" t="s">
        <v>203</v>
      </c>
      <c r="Q430" s="187"/>
      <c r="R430" s="172">
        <v>1</v>
      </c>
      <c r="S430" s="172">
        <v>1</v>
      </c>
      <c r="T430" s="169">
        <v>95</v>
      </c>
      <c r="U430" s="169">
        <v>95</v>
      </c>
      <c r="V430" s="169">
        <v>0</v>
      </c>
      <c r="W430" s="169">
        <v>93</v>
      </c>
      <c r="X430" s="169">
        <f t="shared" si="86"/>
        <v>2</v>
      </c>
    </row>
    <row r="431" spans="1:24" ht="16.149999999999999" customHeight="1" x14ac:dyDescent="0.2">
      <c r="A431" s="173" t="s">
        <v>27</v>
      </c>
      <c r="B431" s="171">
        <v>37363</v>
      </c>
      <c r="C431" s="171">
        <v>37621</v>
      </c>
      <c r="D431" s="165"/>
      <c r="E431" s="165"/>
      <c r="F431" s="165">
        <v>39629</v>
      </c>
      <c r="G431" s="167">
        <v>457.92</v>
      </c>
      <c r="H431" s="166">
        <v>0</v>
      </c>
      <c r="I431" s="167">
        <f t="shared" si="81"/>
        <v>457.92</v>
      </c>
      <c r="J431" s="167">
        <v>300.99</v>
      </c>
      <c r="K431" s="166">
        <v>0</v>
      </c>
      <c r="L431" s="167">
        <f t="shared" si="82"/>
        <v>300.99</v>
      </c>
      <c r="M431" s="127">
        <f t="shared" si="83"/>
        <v>156.93</v>
      </c>
      <c r="N431" s="167">
        <f t="shared" si="84"/>
        <v>0</v>
      </c>
      <c r="O431" s="167">
        <f t="shared" si="85"/>
        <v>156.93</v>
      </c>
      <c r="P431" s="167">
        <f>63.92-1.05-1.05</f>
        <v>61.820000000000007</v>
      </c>
      <c r="Q431" s="187"/>
      <c r="R431" s="128">
        <v>0.9</v>
      </c>
      <c r="S431" s="128">
        <v>0.6</v>
      </c>
      <c r="T431" s="174">
        <v>141</v>
      </c>
      <c r="U431" s="174">
        <v>141</v>
      </c>
      <c r="V431" s="174">
        <v>0</v>
      </c>
      <c r="W431" s="169">
        <v>75</v>
      </c>
      <c r="X431" s="169">
        <f t="shared" si="86"/>
        <v>66</v>
      </c>
    </row>
    <row r="432" spans="1:24" ht="16.149999999999999" customHeight="1" x14ac:dyDescent="0.2">
      <c r="A432" s="173" t="s">
        <v>28</v>
      </c>
      <c r="B432" s="171">
        <v>37970</v>
      </c>
      <c r="C432" s="171">
        <v>38181</v>
      </c>
      <c r="D432" s="165"/>
      <c r="E432" s="165"/>
      <c r="F432" s="165">
        <v>39446</v>
      </c>
      <c r="G432" s="167">
        <v>53.89</v>
      </c>
      <c r="H432" s="166">
        <v>0</v>
      </c>
      <c r="I432" s="167">
        <f t="shared" si="81"/>
        <v>53.89</v>
      </c>
      <c r="J432" s="167">
        <v>53.89</v>
      </c>
      <c r="K432" s="166">
        <v>0</v>
      </c>
      <c r="L432" s="167">
        <f t="shared" si="82"/>
        <v>53.89</v>
      </c>
      <c r="M432" s="127">
        <f t="shared" si="83"/>
        <v>0</v>
      </c>
      <c r="N432" s="167">
        <f t="shared" si="84"/>
        <v>0</v>
      </c>
      <c r="O432" s="167">
        <f t="shared" si="85"/>
        <v>0</v>
      </c>
      <c r="P432" s="167">
        <f>24.54-0.49-0.49-0.47-0.96-0.48-0.96-0.48-0.48-0.97-0.48-0.48-0.48-0.48-0.97-0.48-0.97-0.48-0.48-0.48-0.48-0.48-0.48-0.48-0.48-0.48-0.48-0.48</f>
        <v>9.1399999999999935</v>
      </c>
      <c r="Q432" s="187"/>
      <c r="R432" s="128">
        <v>1</v>
      </c>
      <c r="S432" s="128">
        <v>0</v>
      </c>
      <c r="T432" s="174">
        <v>112</v>
      </c>
      <c r="U432" s="174">
        <v>112</v>
      </c>
      <c r="V432" s="174">
        <v>1</v>
      </c>
      <c r="W432" s="169">
        <v>92</v>
      </c>
      <c r="X432" s="169">
        <f t="shared" si="86"/>
        <v>20</v>
      </c>
    </row>
    <row r="433" spans="1:24" ht="16.149999999999999" customHeight="1" x14ac:dyDescent="0.2">
      <c r="A433" s="173" t="s">
        <v>996</v>
      </c>
      <c r="B433" s="171">
        <v>37928</v>
      </c>
      <c r="C433" s="171">
        <v>38203</v>
      </c>
      <c r="D433" s="165"/>
      <c r="E433" s="165"/>
      <c r="F433" s="165">
        <v>38776</v>
      </c>
      <c r="G433" s="167">
        <f>341.71+16.4+15.31</f>
        <v>373.41999999999996</v>
      </c>
      <c r="H433" s="166">
        <v>0</v>
      </c>
      <c r="I433" s="167">
        <f t="shared" si="81"/>
        <v>373.41999999999996</v>
      </c>
      <c r="J433" s="167">
        <f>70.7+27.47+259.94+15.31</f>
        <v>373.42</v>
      </c>
      <c r="K433" s="166">
        <v>0</v>
      </c>
      <c r="L433" s="167">
        <f t="shared" si="82"/>
        <v>373.42</v>
      </c>
      <c r="M433" s="127">
        <f t="shared" si="83"/>
        <v>0</v>
      </c>
      <c r="N433" s="167">
        <f t="shared" si="84"/>
        <v>0</v>
      </c>
      <c r="O433" s="167">
        <f t="shared" si="85"/>
        <v>0</v>
      </c>
      <c r="P433" s="167">
        <v>0</v>
      </c>
      <c r="Q433" s="187"/>
      <c r="R433" s="128">
        <v>1</v>
      </c>
      <c r="S433" s="128">
        <v>1</v>
      </c>
      <c r="T433" s="174">
        <v>85</v>
      </c>
      <c r="U433" s="174">
        <v>85</v>
      </c>
      <c r="V433" s="174">
        <v>0</v>
      </c>
      <c r="W433" s="169">
        <v>85</v>
      </c>
      <c r="X433" s="169">
        <f t="shared" si="86"/>
        <v>0</v>
      </c>
    </row>
    <row r="434" spans="1:24" ht="16.149999999999999" customHeight="1" x14ac:dyDescent="0.2">
      <c r="A434" s="173" t="s">
        <v>29</v>
      </c>
      <c r="B434" s="171">
        <v>38029</v>
      </c>
      <c r="C434" s="171" t="s">
        <v>203</v>
      </c>
      <c r="D434" s="165"/>
      <c r="E434" s="165"/>
      <c r="F434" s="165" t="s">
        <v>203</v>
      </c>
      <c r="G434" s="167">
        <f>227.12-8.71</f>
        <v>218.41</v>
      </c>
      <c r="H434" s="166">
        <v>0</v>
      </c>
      <c r="I434" s="167">
        <f t="shared" si="81"/>
        <v>218.41</v>
      </c>
      <c r="J434" s="167">
        <f>214.39+4.02</f>
        <v>218.41</v>
      </c>
      <c r="K434" s="166">
        <v>0</v>
      </c>
      <c r="L434" s="167">
        <f>J434+K434</f>
        <v>218.41</v>
      </c>
      <c r="M434" s="127">
        <f t="shared" si="83"/>
        <v>0</v>
      </c>
      <c r="N434" s="167">
        <f t="shared" si="84"/>
        <v>0</v>
      </c>
      <c r="O434" s="167">
        <f t="shared" si="85"/>
        <v>0</v>
      </c>
      <c r="P434" s="184" t="s">
        <v>203</v>
      </c>
      <c r="Q434" s="187"/>
      <c r="R434" s="128">
        <v>1</v>
      </c>
      <c r="S434" s="128">
        <v>1</v>
      </c>
      <c r="T434" s="174">
        <v>56</v>
      </c>
      <c r="U434" s="174">
        <v>56</v>
      </c>
      <c r="V434" s="174">
        <v>1</v>
      </c>
      <c r="W434" s="169">
        <v>54</v>
      </c>
      <c r="X434" s="169">
        <f t="shared" si="86"/>
        <v>2</v>
      </c>
    </row>
    <row r="435" spans="1:24" ht="16.149999999999999" customHeight="1" x14ac:dyDescent="0.2">
      <c r="A435" s="173" t="s">
        <v>302</v>
      </c>
      <c r="B435" s="171">
        <v>38041</v>
      </c>
      <c r="C435" s="171" t="s">
        <v>203</v>
      </c>
      <c r="D435" s="165"/>
      <c r="E435" s="165"/>
      <c r="F435" s="165" t="s">
        <v>203</v>
      </c>
      <c r="G435" s="167">
        <f>71.55-0.3</f>
        <v>71.25</v>
      </c>
      <c r="H435" s="166">
        <v>0</v>
      </c>
      <c r="I435" s="167">
        <f t="shared" si="81"/>
        <v>71.25</v>
      </c>
      <c r="J435" s="167">
        <v>71.25</v>
      </c>
      <c r="K435" s="166">
        <v>0</v>
      </c>
      <c r="L435" s="167">
        <f t="shared" si="82"/>
        <v>71.25</v>
      </c>
      <c r="M435" s="127">
        <f t="shared" si="83"/>
        <v>0</v>
      </c>
      <c r="N435" s="167">
        <f t="shared" si="84"/>
        <v>0</v>
      </c>
      <c r="O435" s="167">
        <f t="shared" si="85"/>
        <v>0</v>
      </c>
      <c r="P435" s="184" t="s">
        <v>203</v>
      </c>
      <c r="Q435" s="187"/>
      <c r="R435" s="128">
        <v>1</v>
      </c>
      <c r="S435" s="128">
        <v>1</v>
      </c>
      <c r="T435" s="174">
        <v>20</v>
      </c>
      <c r="U435" s="174">
        <v>20</v>
      </c>
      <c r="V435" s="174">
        <v>0</v>
      </c>
      <c r="W435" s="169">
        <v>20</v>
      </c>
      <c r="X435" s="169">
        <f t="shared" si="86"/>
        <v>0</v>
      </c>
    </row>
    <row r="436" spans="1:24" ht="16.149999999999999" customHeight="1" x14ac:dyDescent="0.2">
      <c r="A436" s="173" t="s">
        <v>303</v>
      </c>
      <c r="B436" s="171">
        <v>38124</v>
      </c>
      <c r="C436" s="171">
        <v>38533</v>
      </c>
      <c r="D436" s="165"/>
      <c r="E436" s="165"/>
      <c r="F436" s="165">
        <v>39629</v>
      </c>
      <c r="G436" s="167">
        <f>603.65-2.51</f>
        <v>601.14</v>
      </c>
      <c r="H436" s="166">
        <v>0</v>
      </c>
      <c r="I436" s="167">
        <f t="shared" si="81"/>
        <v>601.14</v>
      </c>
      <c r="J436" s="167">
        <v>601.14</v>
      </c>
      <c r="K436" s="166">
        <v>0</v>
      </c>
      <c r="L436" s="167">
        <f t="shared" si="82"/>
        <v>601.14</v>
      </c>
      <c r="M436" s="127">
        <f t="shared" si="83"/>
        <v>0</v>
      </c>
      <c r="N436" s="167">
        <f t="shared" si="84"/>
        <v>0</v>
      </c>
      <c r="O436" s="167">
        <f t="shared" si="85"/>
        <v>0</v>
      </c>
      <c r="P436" s="167">
        <f>48.47-4.84-4.84-9.7-9.7-4.85-4.85-4.85-4.84</f>
        <v>0</v>
      </c>
      <c r="Q436" s="187"/>
      <c r="R436" s="128">
        <v>1</v>
      </c>
      <c r="S436" s="128">
        <v>1</v>
      </c>
      <c r="T436" s="174">
        <v>124</v>
      </c>
      <c r="U436" s="174">
        <v>124</v>
      </c>
      <c r="V436" s="174">
        <v>0</v>
      </c>
      <c r="W436" s="169">
        <v>124</v>
      </c>
      <c r="X436" s="169">
        <f t="shared" si="86"/>
        <v>0</v>
      </c>
    </row>
    <row r="437" spans="1:24" ht="16.149999999999999" customHeight="1" x14ac:dyDescent="0.2">
      <c r="A437" s="173" t="s">
        <v>30</v>
      </c>
      <c r="B437" s="171">
        <v>38253</v>
      </c>
      <c r="C437" s="171">
        <v>38633</v>
      </c>
      <c r="D437" s="165"/>
      <c r="E437" s="165"/>
      <c r="F437" s="165">
        <v>39629</v>
      </c>
      <c r="G437" s="167">
        <f>735.36+3.9+33.1</f>
        <v>772.36</v>
      </c>
      <c r="H437" s="166">
        <v>0</v>
      </c>
      <c r="I437" s="167">
        <f t="shared" si="81"/>
        <v>772.36</v>
      </c>
      <c r="J437" s="167">
        <f>765.64+0.26+0.51+0.26</f>
        <v>766.67</v>
      </c>
      <c r="K437" s="166">
        <v>0</v>
      </c>
      <c r="L437" s="167">
        <f t="shared" si="82"/>
        <v>766.67</v>
      </c>
      <c r="M437" s="127">
        <f t="shared" si="83"/>
        <v>5.6900000000000546</v>
      </c>
      <c r="N437" s="167">
        <f t="shared" si="84"/>
        <v>0</v>
      </c>
      <c r="O437" s="167">
        <f t="shared" si="85"/>
        <v>5.6900000000000546</v>
      </c>
      <c r="P437" s="167">
        <f>29.95-5-9.98-4.99</f>
        <v>9.9799999999999986</v>
      </c>
      <c r="Q437" s="187"/>
      <c r="R437" s="128">
        <v>1</v>
      </c>
      <c r="S437" s="128">
        <v>1</v>
      </c>
      <c r="T437" s="174">
        <v>158</v>
      </c>
      <c r="U437" s="174">
        <v>158</v>
      </c>
      <c r="V437" s="174">
        <v>1</v>
      </c>
      <c r="W437" s="169">
        <v>156</v>
      </c>
      <c r="X437" s="169">
        <f t="shared" si="86"/>
        <v>2</v>
      </c>
    </row>
    <row r="438" spans="1:24" ht="16.149999999999999" customHeight="1" x14ac:dyDescent="0.2">
      <c r="A438" s="173" t="s">
        <v>31</v>
      </c>
      <c r="B438" s="171" t="s">
        <v>234</v>
      </c>
      <c r="C438" s="171">
        <v>38752</v>
      </c>
      <c r="D438" s="165"/>
      <c r="E438" s="165"/>
      <c r="F438" s="165">
        <v>39629</v>
      </c>
      <c r="G438" s="167">
        <f>612.85+23.84</f>
        <v>636.69000000000005</v>
      </c>
      <c r="H438" s="166">
        <v>0</v>
      </c>
      <c r="I438" s="167">
        <f t="shared" si="81"/>
        <v>636.69000000000005</v>
      </c>
      <c r="J438" s="167">
        <f>78.73+55.75+45.22+33.57+60.98+45.49+81.98+50.11+44.41+14.66+20.09+13.16+20.01+18.05+23.84</f>
        <v>606.04999999999995</v>
      </c>
      <c r="K438" s="166">
        <v>0</v>
      </c>
      <c r="L438" s="167">
        <f t="shared" si="82"/>
        <v>606.04999999999995</v>
      </c>
      <c r="M438" s="127">
        <f t="shared" si="83"/>
        <v>30.6400000000001</v>
      </c>
      <c r="N438" s="167">
        <f t="shared" si="84"/>
        <v>0</v>
      </c>
      <c r="O438" s="167">
        <f t="shared" si="85"/>
        <v>30.6400000000001</v>
      </c>
      <c r="P438" s="167">
        <f>103.2-5.24-10.47-15.71-15.71-5.24-15.72-5.24-5.24</f>
        <v>24.629999999999995</v>
      </c>
      <c r="Q438" s="187"/>
      <c r="R438" s="128">
        <v>1</v>
      </c>
      <c r="S438" s="128">
        <v>1</v>
      </c>
      <c r="T438" s="174">
        <v>117</v>
      </c>
      <c r="U438" s="174">
        <v>117</v>
      </c>
      <c r="V438" s="174">
        <v>0</v>
      </c>
      <c r="W438" s="169">
        <v>111</v>
      </c>
      <c r="X438" s="169">
        <f t="shared" si="86"/>
        <v>6</v>
      </c>
    </row>
    <row r="439" spans="1:24" ht="16.149999999999999" customHeight="1" x14ac:dyDescent="0.2">
      <c r="A439" s="173" t="s">
        <v>32</v>
      </c>
      <c r="B439" s="171">
        <v>38421</v>
      </c>
      <c r="C439" s="171">
        <v>38934</v>
      </c>
      <c r="D439" s="165"/>
      <c r="E439" s="165"/>
      <c r="F439" s="165">
        <v>39447</v>
      </c>
      <c r="G439" s="167">
        <f>3154.83+13.51</f>
        <v>3168.34</v>
      </c>
      <c r="H439" s="166">
        <v>0</v>
      </c>
      <c r="I439" s="167">
        <f t="shared" si="81"/>
        <v>3168.34</v>
      </c>
      <c r="J439" s="167">
        <f>3147.92+0.14+0.423+0.358+0.282+2.71+0.29+5.02+8.49+1.58</f>
        <v>3167.2129999999997</v>
      </c>
      <c r="K439" s="166">
        <v>0</v>
      </c>
      <c r="L439" s="167">
        <f t="shared" si="82"/>
        <v>3167.2129999999997</v>
      </c>
      <c r="M439" s="127">
        <f t="shared" si="83"/>
        <v>1.1270000000004075</v>
      </c>
      <c r="N439" s="167">
        <f t="shared" si="84"/>
        <v>0</v>
      </c>
      <c r="O439" s="167">
        <f t="shared" si="85"/>
        <v>1.1270000000004075</v>
      </c>
      <c r="P439" s="167">
        <f>311.9-3.78-2.68-6.61-6.51-13.23-59.52+4.06+0.85+0.66+0.14+0.423+0.358+0.282+2.71+0.29+5.02+8.49+1.58-6.642</f>
        <v>237.791</v>
      </c>
      <c r="Q439" s="187"/>
      <c r="R439" s="128">
        <v>1</v>
      </c>
      <c r="S439" s="128">
        <v>1</v>
      </c>
      <c r="T439" s="174">
        <v>477</v>
      </c>
      <c r="U439" s="174">
        <v>477</v>
      </c>
      <c r="V439" s="174">
        <v>27</v>
      </c>
      <c r="W439" s="169">
        <v>443</v>
      </c>
      <c r="X439" s="169">
        <f t="shared" si="86"/>
        <v>34</v>
      </c>
    </row>
    <row r="440" spans="1:24" ht="16.149999999999999" customHeight="1" x14ac:dyDescent="0.2">
      <c r="A440" s="173" t="s">
        <v>997</v>
      </c>
      <c r="B440" s="171" t="s">
        <v>998</v>
      </c>
      <c r="C440" s="171">
        <v>39071</v>
      </c>
      <c r="D440" s="165"/>
      <c r="E440" s="165"/>
      <c r="F440" s="165">
        <v>39447</v>
      </c>
      <c r="G440" s="167">
        <f>358.86+69.72</f>
        <v>428.58000000000004</v>
      </c>
      <c r="H440" s="166">
        <v>0</v>
      </c>
      <c r="I440" s="167">
        <f t="shared" si="81"/>
        <v>428.58000000000004</v>
      </c>
      <c r="J440" s="167">
        <v>428.58</v>
      </c>
      <c r="K440" s="166">
        <v>0</v>
      </c>
      <c r="L440" s="167">
        <f t="shared" si="82"/>
        <v>428.58</v>
      </c>
      <c r="M440" s="127">
        <f t="shared" si="83"/>
        <v>0</v>
      </c>
      <c r="N440" s="167">
        <f t="shared" si="84"/>
        <v>0</v>
      </c>
      <c r="O440" s="167">
        <f t="shared" si="85"/>
        <v>0</v>
      </c>
      <c r="P440" s="167">
        <v>0</v>
      </c>
      <c r="Q440" s="187"/>
      <c r="R440" s="128">
        <v>1</v>
      </c>
      <c r="S440" s="128">
        <v>0.99580000000000002</v>
      </c>
      <c r="T440" s="174">
        <v>59</v>
      </c>
      <c r="U440" s="174">
        <v>59</v>
      </c>
      <c r="V440" s="174">
        <v>0</v>
      </c>
      <c r="W440" s="169">
        <v>59</v>
      </c>
      <c r="X440" s="169">
        <f t="shared" si="86"/>
        <v>0</v>
      </c>
    </row>
    <row r="441" spans="1:24" ht="16.149999999999999" customHeight="1" x14ac:dyDescent="0.2">
      <c r="A441" s="173" t="s">
        <v>33</v>
      </c>
      <c r="B441" s="171">
        <v>38442</v>
      </c>
      <c r="C441" s="171" t="s">
        <v>203</v>
      </c>
      <c r="D441" s="165"/>
      <c r="E441" s="165"/>
      <c r="F441" s="165" t="s">
        <v>203</v>
      </c>
      <c r="G441" s="167">
        <f>229.02-40.2697</f>
        <v>188.75030000000001</v>
      </c>
      <c r="H441" s="166">
        <v>0</v>
      </c>
      <c r="I441" s="167">
        <f t="shared" si="81"/>
        <v>188.75030000000001</v>
      </c>
      <c r="J441" s="167">
        <v>188.75034299999999</v>
      </c>
      <c r="K441" s="166">
        <v>0</v>
      </c>
      <c r="L441" s="167">
        <f t="shared" si="82"/>
        <v>188.75034299999999</v>
      </c>
      <c r="M441" s="127">
        <f t="shared" si="83"/>
        <v>-4.2999999976700565E-5</v>
      </c>
      <c r="N441" s="167">
        <f t="shared" si="84"/>
        <v>0</v>
      </c>
      <c r="O441" s="167">
        <f t="shared" si="85"/>
        <v>-4.2999999976700565E-5</v>
      </c>
      <c r="P441" s="184" t="s">
        <v>203</v>
      </c>
      <c r="Q441" s="187"/>
      <c r="R441" s="128">
        <v>1</v>
      </c>
      <c r="S441" s="128">
        <v>0.78580000000000005</v>
      </c>
      <c r="T441" s="174">
        <v>52</v>
      </c>
      <c r="U441" s="174">
        <v>52</v>
      </c>
      <c r="V441" s="174">
        <v>1</v>
      </c>
      <c r="W441" s="169">
        <v>43</v>
      </c>
      <c r="X441" s="169">
        <f t="shared" si="86"/>
        <v>9</v>
      </c>
    </row>
    <row r="442" spans="1:24" ht="16.149999999999999" customHeight="1" x14ac:dyDescent="0.2">
      <c r="A442" s="173" t="s">
        <v>34</v>
      </c>
      <c r="B442" s="171">
        <v>38747</v>
      </c>
      <c r="C442" s="171">
        <v>39133</v>
      </c>
      <c r="D442" s="165"/>
      <c r="E442" s="165"/>
      <c r="F442" s="165">
        <v>39629</v>
      </c>
      <c r="G442" s="167">
        <f>1369.349+6.697+13.39+130.61-2.81</f>
        <v>1517.2359999999999</v>
      </c>
      <c r="H442" s="166">
        <v>0</v>
      </c>
      <c r="I442" s="167">
        <f t="shared" si="81"/>
        <v>1517.2359999999999</v>
      </c>
      <c r="J442" s="167">
        <v>1515.18</v>
      </c>
      <c r="K442" s="166">
        <v>0</v>
      </c>
      <c r="L442" s="167">
        <f t="shared" si="82"/>
        <v>1515.18</v>
      </c>
      <c r="M442" s="127">
        <f t="shared" si="83"/>
        <v>2.0559999999998126</v>
      </c>
      <c r="N442" s="167">
        <f t="shared" si="84"/>
        <v>0</v>
      </c>
      <c r="O442" s="167">
        <f t="shared" si="85"/>
        <v>2.0559999999998126</v>
      </c>
      <c r="P442" s="167">
        <f>25.15-1.72</f>
        <v>23.43</v>
      </c>
      <c r="Q442" s="187"/>
      <c r="R442" s="128">
        <v>1</v>
      </c>
      <c r="S442" s="128">
        <v>0.99539999999999995</v>
      </c>
      <c r="T442" s="174">
        <v>221</v>
      </c>
      <c r="U442" s="174">
        <v>221</v>
      </c>
      <c r="V442" s="174">
        <v>1</v>
      </c>
      <c r="W442" s="169">
        <v>217</v>
      </c>
      <c r="X442" s="169">
        <f t="shared" si="86"/>
        <v>4</v>
      </c>
    </row>
    <row r="443" spans="1:24" ht="16.149999999999999" customHeight="1" x14ac:dyDescent="0.2">
      <c r="A443" s="173" t="s">
        <v>999</v>
      </c>
      <c r="B443" s="171">
        <v>39358</v>
      </c>
      <c r="C443" s="171" t="s">
        <v>203</v>
      </c>
      <c r="D443" s="165"/>
      <c r="E443" s="165"/>
      <c r="F443" s="165" t="s">
        <v>203</v>
      </c>
      <c r="G443" s="167">
        <v>138.27000000000001</v>
      </c>
      <c r="H443" s="166">
        <v>0</v>
      </c>
      <c r="I443" s="167">
        <f t="shared" si="81"/>
        <v>138.27000000000001</v>
      </c>
      <c r="J443" s="167">
        <v>138.27000000000001</v>
      </c>
      <c r="K443" s="166">
        <v>0</v>
      </c>
      <c r="L443" s="167">
        <f t="shared" si="82"/>
        <v>138.27000000000001</v>
      </c>
      <c r="M443" s="127">
        <f t="shared" si="83"/>
        <v>0</v>
      </c>
      <c r="N443" s="167">
        <f t="shared" si="84"/>
        <v>0</v>
      </c>
      <c r="O443" s="167">
        <f t="shared" si="85"/>
        <v>0</v>
      </c>
      <c r="P443" s="184" t="s">
        <v>203</v>
      </c>
      <c r="Q443" s="187"/>
      <c r="R443" s="128">
        <v>1</v>
      </c>
      <c r="S443" s="128">
        <v>0.99539999999999995</v>
      </c>
      <c r="T443" s="174">
        <v>17</v>
      </c>
      <c r="U443" s="174">
        <v>17</v>
      </c>
      <c r="V443" s="174">
        <v>0</v>
      </c>
      <c r="W443" s="169">
        <v>17</v>
      </c>
      <c r="X443" s="169">
        <f t="shared" si="86"/>
        <v>0</v>
      </c>
    </row>
    <row r="444" spans="1:24" ht="16.149999999999999" customHeight="1" x14ac:dyDescent="0.2">
      <c r="A444" s="173" t="s">
        <v>1000</v>
      </c>
      <c r="B444" s="171" t="s">
        <v>1001</v>
      </c>
      <c r="C444" s="171" t="s">
        <v>203</v>
      </c>
      <c r="D444" s="165"/>
      <c r="E444" s="165"/>
      <c r="F444" s="165" t="s">
        <v>203</v>
      </c>
      <c r="G444" s="167">
        <f>147.37+43.34</f>
        <v>190.71</v>
      </c>
      <c r="H444" s="166">
        <v>0</v>
      </c>
      <c r="I444" s="167">
        <f t="shared" si="81"/>
        <v>190.71</v>
      </c>
      <c r="J444" s="167">
        <v>190.71</v>
      </c>
      <c r="K444" s="166">
        <v>0</v>
      </c>
      <c r="L444" s="167">
        <f t="shared" si="82"/>
        <v>190.71</v>
      </c>
      <c r="M444" s="127">
        <f t="shared" si="83"/>
        <v>0</v>
      </c>
      <c r="N444" s="167">
        <f t="shared" si="84"/>
        <v>0</v>
      </c>
      <c r="O444" s="167">
        <f t="shared" si="85"/>
        <v>0</v>
      </c>
      <c r="P444" s="184" t="s">
        <v>203</v>
      </c>
      <c r="Q444" s="187"/>
      <c r="R444" s="128">
        <v>1</v>
      </c>
      <c r="S444" s="128">
        <v>1</v>
      </c>
      <c r="T444" s="174">
        <v>22</v>
      </c>
      <c r="U444" s="174">
        <v>22</v>
      </c>
      <c r="V444" s="174">
        <v>0</v>
      </c>
      <c r="W444" s="169">
        <v>22</v>
      </c>
      <c r="X444" s="169">
        <f t="shared" si="86"/>
        <v>0</v>
      </c>
    </row>
    <row r="445" spans="1:24" ht="16.149999999999999" customHeight="1" x14ac:dyDescent="0.2">
      <c r="A445" s="173" t="s">
        <v>1002</v>
      </c>
      <c r="B445" s="171">
        <v>39888</v>
      </c>
      <c r="C445" s="171" t="s">
        <v>203</v>
      </c>
      <c r="D445" s="165" t="s">
        <v>203</v>
      </c>
      <c r="E445" s="165" t="s">
        <v>203</v>
      </c>
      <c r="F445" s="165" t="s">
        <v>203</v>
      </c>
      <c r="G445" s="167">
        <v>18.98</v>
      </c>
      <c r="H445" s="166">
        <v>0</v>
      </c>
      <c r="I445" s="167">
        <f t="shared" si="81"/>
        <v>18.98</v>
      </c>
      <c r="J445" s="167">
        <v>18.98</v>
      </c>
      <c r="K445" s="166">
        <v>0</v>
      </c>
      <c r="L445" s="167">
        <f t="shared" si="82"/>
        <v>18.98</v>
      </c>
      <c r="M445" s="127">
        <f t="shared" si="83"/>
        <v>0</v>
      </c>
      <c r="N445" s="167">
        <f t="shared" si="84"/>
        <v>0</v>
      </c>
      <c r="O445" s="167">
        <f t="shared" si="85"/>
        <v>0</v>
      </c>
      <c r="P445" s="184" t="s">
        <v>203</v>
      </c>
      <c r="Q445" s="187"/>
      <c r="R445" s="128">
        <v>1</v>
      </c>
      <c r="S445" s="128">
        <v>1</v>
      </c>
      <c r="T445" s="174">
        <v>2</v>
      </c>
      <c r="U445" s="174">
        <v>2</v>
      </c>
      <c r="V445" s="174">
        <v>0</v>
      </c>
      <c r="W445" s="169">
        <v>2</v>
      </c>
      <c r="X445" s="169">
        <f t="shared" si="86"/>
        <v>0</v>
      </c>
    </row>
    <row r="446" spans="1:24" ht="16.149999999999999" customHeight="1" x14ac:dyDescent="0.2">
      <c r="A446" s="173" t="s">
        <v>1003</v>
      </c>
      <c r="B446" s="171">
        <v>40296</v>
      </c>
      <c r="C446" s="171" t="s">
        <v>203</v>
      </c>
      <c r="D446" s="165" t="s">
        <v>203</v>
      </c>
      <c r="E446" s="165" t="s">
        <v>203</v>
      </c>
      <c r="F446" s="165" t="s">
        <v>203</v>
      </c>
      <c r="G446" s="167">
        <v>216.46</v>
      </c>
      <c r="H446" s="166">
        <v>0</v>
      </c>
      <c r="I446" s="167">
        <f t="shared" si="81"/>
        <v>216.46</v>
      </c>
      <c r="J446" s="167">
        <v>216.46</v>
      </c>
      <c r="K446" s="166">
        <v>0</v>
      </c>
      <c r="L446" s="167">
        <f t="shared" si="82"/>
        <v>216.46</v>
      </c>
      <c r="M446" s="127">
        <f t="shared" si="83"/>
        <v>0</v>
      </c>
      <c r="N446" s="167">
        <f t="shared" si="84"/>
        <v>0</v>
      </c>
      <c r="O446" s="167">
        <f t="shared" si="85"/>
        <v>0</v>
      </c>
      <c r="P446" s="184" t="s">
        <v>203</v>
      </c>
      <c r="Q446" s="187"/>
      <c r="R446" s="128">
        <v>1</v>
      </c>
      <c r="S446" s="128">
        <v>1</v>
      </c>
      <c r="T446" s="174">
        <v>19</v>
      </c>
      <c r="U446" s="174">
        <v>19</v>
      </c>
      <c r="V446" s="174">
        <v>0</v>
      </c>
      <c r="W446" s="169">
        <v>19</v>
      </c>
      <c r="X446" s="169">
        <f t="shared" si="86"/>
        <v>0</v>
      </c>
    </row>
    <row r="447" spans="1:24" ht="16.149999999999999" customHeight="1" x14ac:dyDescent="0.2">
      <c r="A447" s="173" t="s">
        <v>1004</v>
      </c>
      <c r="B447" s="171">
        <v>40305</v>
      </c>
      <c r="C447" s="171" t="s">
        <v>203</v>
      </c>
      <c r="D447" s="165" t="s">
        <v>203</v>
      </c>
      <c r="E447" s="165" t="s">
        <v>203</v>
      </c>
      <c r="F447" s="165" t="s">
        <v>203</v>
      </c>
      <c r="G447" s="167">
        <v>72.87</v>
      </c>
      <c r="H447" s="167">
        <v>0</v>
      </c>
      <c r="I447" s="167">
        <f t="shared" si="81"/>
        <v>72.87</v>
      </c>
      <c r="J447" s="167">
        <f>61.96+10.91</f>
        <v>72.87</v>
      </c>
      <c r="K447" s="167">
        <v>0</v>
      </c>
      <c r="L447" s="167">
        <f t="shared" si="82"/>
        <v>72.87</v>
      </c>
      <c r="M447" s="127">
        <f t="shared" si="83"/>
        <v>0</v>
      </c>
      <c r="N447" s="167">
        <f t="shared" si="84"/>
        <v>0</v>
      </c>
      <c r="O447" s="167">
        <f t="shared" si="85"/>
        <v>0</v>
      </c>
      <c r="P447" s="184" t="s">
        <v>203</v>
      </c>
      <c r="Q447" s="187"/>
      <c r="R447" s="128">
        <v>1</v>
      </c>
      <c r="S447" s="128">
        <v>1</v>
      </c>
      <c r="T447" s="174">
        <v>7</v>
      </c>
      <c r="U447" s="174">
        <v>7</v>
      </c>
      <c r="V447" s="174">
        <v>0</v>
      </c>
      <c r="W447" s="169">
        <v>7</v>
      </c>
      <c r="X447" s="169">
        <f t="shared" si="86"/>
        <v>0</v>
      </c>
    </row>
    <row r="448" spans="1:24" ht="16.149999999999999" customHeight="1" x14ac:dyDescent="0.2">
      <c r="A448" s="173" t="s">
        <v>1005</v>
      </c>
      <c r="B448" s="171">
        <v>40305</v>
      </c>
      <c r="C448" s="171" t="s">
        <v>203</v>
      </c>
      <c r="D448" s="165" t="s">
        <v>203</v>
      </c>
      <c r="E448" s="165" t="s">
        <v>203</v>
      </c>
      <c r="F448" s="165" t="s">
        <v>203</v>
      </c>
      <c r="G448" s="167">
        <v>534.35</v>
      </c>
      <c r="H448" s="167">
        <v>0</v>
      </c>
      <c r="I448" s="167">
        <f t="shared" si="81"/>
        <v>534.35</v>
      </c>
      <c r="J448" s="167">
        <f>488.29+46.06</f>
        <v>534.35</v>
      </c>
      <c r="K448" s="167">
        <v>0</v>
      </c>
      <c r="L448" s="167">
        <f t="shared" si="82"/>
        <v>534.35</v>
      </c>
      <c r="M448" s="127">
        <f t="shared" si="83"/>
        <v>0</v>
      </c>
      <c r="N448" s="167">
        <f t="shared" si="84"/>
        <v>0</v>
      </c>
      <c r="O448" s="167">
        <f t="shared" si="85"/>
        <v>0</v>
      </c>
      <c r="P448" s="184" t="s">
        <v>203</v>
      </c>
      <c r="Q448" s="187"/>
      <c r="R448" s="128">
        <v>1</v>
      </c>
      <c r="S448" s="128">
        <v>1</v>
      </c>
      <c r="T448" s="174">
        <v>36</v>
      </c>
      <c r="U448" s="174">
        <v>36</v>
      </c>
      <c r="V448" s="174">
        <v>0</v>
      </c>
      <c r="W448" s="169">
        <v>36</v>
      </c>
      <c r="X448" s="169">
        <f t="shared" si="86"/>
        <v>0</v>
      </c>
    </row>
    <row r="449" spans="1:24" ht="16.149999999999999" customHeight="1" x14ac:dyDescent="0.2">
      <c r="A449" s="173" t="s">
        <v>1006</v>
      </c>
      <c r="B449" s="171">
        <v>40630</v>
      </c>
      <c r="C449" s="171">
        <v>40821</v>
      </c>
      <c r="D449" s="165"/>
      <c r="E449" s="165"/>
      <c r="F449" s="165"/>
      <c r="G449" s="167">
        <v>294</v>
      </c>
      <c r="H449" s="167">
        <v>0</v>
      </c>
      <c r="I449" s="167">
        <f t="shared" si="81"/>
        <v>294</v>
      </c>
      <c r="J449" s="167">
        <f>265.05+13.95+15</f>
        <v>294</v>
      </c>
      <c r="K449" s="167">
        <v>0</v>
      </c>
      <c r="L449" s="167">
        <f t="shared" si="82"/>
        <v>294</v>
      </c>
      <c r="M449" s="127">
        <f t="shared" si="83"/>
        <v>0</v>
      </c>
      <c r="N449" s="167">
        <f t="shared" si="84"/>
        <v>0</v>
      </c>
      <c r="O449" s="167">
        <f t="shared" si="85"/>
        <v>0</v>
      </c>
      <c r="P449" s="184" t="s">
        <v>203</v>
      </c>
      <c r="Q449" s="187"/>
      <c r="R449" s="128">
        <v>1</v>
      </c>
      <c r="S449" s="128">
        <v>1</v>
      </c>
      <c r="T449" s="174">
        <v>20</v>
      </c>
      <c r="U449" s="174">
        <v>20</v>
      </c>
      <c r="V449" s="174">
        <v>0</v>
      </c>
      <c r="W449" s="169">
        <v>20</v>
      </c>
      <c r="X449" s="169">
        <f t="shared" si="86"/>
        <v>0</v>
      </c>
    </row>
    <row r="450" spans="1:24" ht="16.149999999999999" customHeight="1" x14ac:dyDescent="0.2">
      <c r="A450" s="173" t="s">
        <v>1007</v>
      </c>
      <c r="B450" s="171" t="s">
        <v>1008</v>
      </c>
      <c r="C450" s="171"/>
      <c r="D450" s="165"/>
      <c r="E450" s="165"/>
      <c r="F450" s="165"/>
      <c r="G450" s="167">
        <f>28.92+28.93+19.29</f>
        <v>77.14</v>
      </c>
      <c r="H450" s="167">
        <v>0</v>
      </c>
      <c r="I450" s="167">
        <f t="shared" si="81"/>
        <v>77.14</v>
      </c>
      <c r="J450" s="167">
        <f>64+9.14</f>
        <v>73.14</v>
      </c>
      <c r="K450" s="167">
        <v>0</v>
      </c>
      <c r="L450" s="167">
        <f t="shared" si="82"/>
        <v>73.14</v>
      </c>
      <c r="M450" s="127">
        <f t="shared" si="83"/>
        <v>4</v>
      </c>
      <c r="N450" s="167">
        <f t="shared" si="84"/>
        <v>0</v>
      </c>
      <c r="O450" s="167">
        <f t="shared" si="85"/>
        <v>4</v>
      </c>
      <c r="P450" s="184" t="s">
        <v>203</v>
      </c>
      <c r="Q450" s="187"/>
      <c r="R450" s="128">
        <v>1</v>
      </c>
      <c r="S450" s="128">
        <v>1</v>
      </c>
      <c r="T450" s="174">
        <f>3+3+2</f>
        <v>8</v>
      </c>
      <c r="U450" s="174">
        <f>3+3+2</f>
        <v>8</v>
      </c>
      <c r="V450" s="174">
        <v>0</v>
      </c>
      <c r="W450" s="169">
        <v>8</v>
      </c>
      <c r="X450" s="169">
        <f t="shared" si="86"/>
        <v>0</v>
      </c>
    </row>
    <row r="451" spans="1:24" ht="16.149999999999999" customHeight="1" x14ac:dyDescent="0.2">
      <c r="A451" s="173" t="s">
        <v>1009</v>
      </c>
      <c r="B451" s="171">
        <v>40686</v>
      </c>
      <c r="C451" s="171"/>
      <c r="D451" s="165"/>
      <c r="E451" s="165"/>
      <c r="F451" s="165"/>
      <c r="G451" s="167">
        <v>35.39</v>
      </c>
      <c r="H451" s="167">
        <v>0</v>
      </c>
      <c r="I451" s="167">
        <f t="shared" si="81"/>
        <v>35.39</v>
      </c>
      <c r="J451" s="167">
        <f>22.28+11.21+1.9</f>
        <v>35.39</v>
      </c>
      <c r="K451" s="167">
        <v>0</v>
      </c>
      <c r="L451" s="167">
        <f t="shared" si="82"/>
        <v>35.39</v>
      </c>
      <c r="M451" s="127">
        <f t="shared" si="83"/>
        <v>0</v>
      </c>
      <c r="N451" s="167">
        <f t="shared" si="84"/>
        <v>0</v>
      </c>
      <c r="O451" s="167">
        <f t="shared" si="85"/>
        <v>0</v>
      </c>
      <c r="P451" s="184" t="s">
        <v>203</v>
      </c>
      <c r="Q451" s="187"/>
      <c r="R451" s="128">
        <v>1</v>
      </c>
      <c r="S451" s="128">
        <v>1</v>
      </c>
      <c r="T451" s="174">
        <v>3</v>
      </c>
      <c r="U451" s="174">
        <v>3</v>
      </c>
      <c r="V451" s="174">
        <v>0</v>
      </c>
      <c r="W451" s="169">
        <v>3</v>
      </c>
      <c r="X451" s="169">
        <f t="shared" si="86"/>
        <v>0</v>
      </c>
    </row>
    <row r="452" spans="1:24" ht="16.149999999999999" customHeight="1" x14ac:dyDescent="0.2">
      <c r="A452" s="173" t="s">
        <v>1010</v>
      </c>
      <c r="B452" s="179" t="s">
        <v>1011</v>
      </c>
      <c r="C452" s="171" t="s">
        <v>203</v>
      </c>
      <c r="D452" s="165" t="s">
        <v>203</v>
      </c>
      <c r="E452" s="165" t="s">
        <v>203</v>
      </c>
      <c r="F452" s="165" t="s">
        <v>203</v>
      </c>
      <c r="G452" s="167">
        <f>494.56-11.91+107.16</f>
        <v>589.80999999999995</v>
      </c>
      <c r="H452" s="167">
        <v>0</v>
      </c>
      <c r="I452" s="167">
        <f t="shared" si="81"/>
        <v>589.80999999999995</v>
      </c>
      <c r="J452" s="167">
        <f>482.65+95.26+11.9</f>
        <v>589.80999999999995</v>
      </c>
      <c r="K452" s="167">
        <v>0</v>
      </c>
      <c r="L452" s="167">
        <f t="shared" si="82"/>
        <v>589.80999999999995</v>
      </c>
      <c r="M452" s="127">
        <f t="shared" si="83"/>
        <v>0</v>
      </c>
      <c r="N452" s="167">
        <f t="shared" si="84"/>
        <v>0</v>
      </c>
      <c r="O452" s="167">
        <f t="shared" si="85"/>
        <v>0</v>
      </c>
      <c r="P452" s="171" t="s">
        <v>203</v>
      </c>
      <c r="Q452" s="187"/>
      <c r="R452" s="128">
        <v>1</v>
      </c>
      <c r="S452" s="172">
        <v>1</v>
      </c>
      <c r="T452" s="169">
        <f>40-1+9</f>
        <v>48</v>
      </c>
      <c r="U452" s="169">
        <f>40-1+9</f>
        <v>48</v>
      </c>
      <c r="V452" s="169">
        <v>0</v>
      </c>
      <c r="W452" s="169">
        <v>48</v>
      </c>
      <c r="X452" s="169">
        <f t="shared" si="86"/>
        <v>0</v>
      </c>
    </row>
    <row r="453" spans="1:24" ht="16.149999999999999" customHeight="1" x14ac:dyDescent="0.2">
      <c r="A453" s="189" t="s">
        <v>304</v>
      </c>
      <c r="B453" s="189"/>
      <c r="C453" s="189"/>
      <c r="D453" s="189"/>
      <c r="E453" s="189"/>
      <c r="F453" s="189"/>
      <c r="G453" s="190">
        <f t="shared" ref="G453:P453" si="87">SUM(G426:G452)</f>
        <v>12370.596299999996</v>
      </c>
      <c r="H453" s="190">
        <f t="shared" si="87"/>
        <v>0</v>
      </c>
      <c r="I453" s="190">
        <f t="shared" si="87"/>
        <v>12370.596299999996</v>
      </c>
      <c r="J453" s="190">
        <f t="shared" si="87"/>
        <v>12136.623342999997</v>
      </c>
      <c r="K453" s="190">
        <f t="shared" si="87"/>
        <v>0</v>
      </c>
      <c r="L453" s="190">
        <f t="shared" si="87"/>
        <v>12136.623342999997</v>
      </c>
      <c r="M453" s="136">
        <f t="shared" si="87"/>
        <v>233.97295700000038</v>
      </c>
      <c r="N453" s="190">
        <f t="shared" si="87"/>
        <v>0</v>
      </c>
      <c r="O453" s="190">
        <f t="shared" si="87"/>
        <v>233.97295700000038</v>
      </c>
      <c r="P453" s="190">
        <f t="shared" si="87"/>
        <v>373.65100000000001</v>
      </c>
      <c r="Q453" s="187"/>
      <c r="R453" s="128"/>
      <c r="S453" s="128"/>
      <c r="T453" s="225">
        <f>SUM(T426:T452)</f>
        <v>2326</v>
      </c>
      <c r="U453" s="225">
        <f>SUM(U426:U452)</f>
        <v>2326</v>
      </c>
      <c r="V453" s="225">
        <f>SUM(V426:V452)</f>
        <v>32</v>
      </c>
      <c r="W453" s="225">
        <f>SUM(W426:W452)</f>
        <v>2179</v>
      </c>
      <c r="X453" s="225">
        <f>SUM(X426:X452)</f>
        <v>147</v>
      </c>
    </row>
    <row r="454" spans="1:24" ht="16.149999999999999" customHeight="1" x14ac:dyDescent="0.2">
      <c r="A454" s="220"/>
      <c r="B454" s="221"/>
      <c r="C454" s="221"/>
      <c r="D454" s="221"/>
      <c r="E454" s="221"/>
      <c r="F454" s="221"/>
      <c r="G454" s="221"/>
      <c r="H454" s="221"/>
      <c r="I454" s="221"/>
      <c r="J454" s="221"/>
      <c r="K454" s="221"/>
      <c r="L454" s="146"/>
      <c r="M454" s="126"/>
      <c r="N454" s="146"/>
      <c r="O454" s="146"/>
      <c r="P454" s="146"/>
      <c r="Q454" s="187"/>
      <c r="R454" s="223"/>
      <c r="S454" s="223"/>
      <c r="T454" s="219"/>
      <c r="U454" s="219"/>
      <c r="V454" s="219"/>
      <c r="W454" s="219"/>
      <c r="X454" s="219"/>
    </row>
    <row r="455" spans="1:24" ht="16.149999999999999" customHeight="1" x14ac:dyDescent="0.2">
      <c r="A455" s="220" t="s">
        <v>35</v>
      </c>
      <c r="B455" s="156"/>
      <c r="C455" s="156"/>
      <c r="D455" s="156"/>
      <c r="E455" s="156"/>
      <c r="F455" s="156"/>
      <c r="G455" s="156"/>
      <c r="H455" s="156"/>
      <c r="I455" s="156"/>
      <c r="J455" s="156"/>
      <c r="K455" s="156"/>
      <c r="L455" s="146"/>
      <c r="M455" s="126"/>
      <c r="N455" s="146"/>
      <c r="O455" s="146"/>
      <c r="P455" s="146"/>
      <c r="Q455" s="146"/>
      <c r="R455" s="161"/>
      <c r="S455" s="161"/>
      <c r="T455" s="219"/>
      <c r="U455" s="219"/>
      <c r="V455" s="219"/>
      <c r="W455" s="219"/>
      <c r="X455" s="219"/>
    </row>
    <row r="456" spans="1:24" ht="16.149999999999999" customHeight="1" x14ac:dyDescent="0.2">
      <c r="A456" s="170" t="s">
        <v>1012</v>
      </c>
      <c r="B456" s="171">
        <v>38078</v>
      </c>
      <c r="C456" s="171" t="s">
        <v>203</v>
      </c>
      <c r="D456" s="165"/>
      <c r="E456" s="165"/>
      <c r="F456" s="165" t="s">
        <v>203</v>
      </c>
      <c r="G456" s="167">
        <f>63.82-1.4+3.6-0.22</f>
        <v>65.8</v>
      </c>
      <c r="H456" s="167">
        <v>0</v>
      </c>
      <c r="I456" s="167">
        <f t="shared" ref="I456:I501" si="88">G456+H456</f>
        <v>65.8</v>
      </c>
      <c r="J456" s="167">
        <f>62.42+3.38</f>
        <v>65.8</v>
      </c>
      <c r="K456" s="167">
        <v>0</v>
      </c>
      <c r="L456" s="167">
        <f t="shared" ref="L456:L501" si="89">J456+K456</f>
        <v>65.8</v>
      </c>
      <c r="M456" s="127">
        <f t="shared" ref="M456:M501" si="90">G456-J456</f>
        <v>0</v>
      </c>
      <c r="N456" s="167">
        <f t="shared" ref="N456:N501" si="91">H456-K456</f>
        <v>0</v>
      </c>
      <c r="O456" s="167">
        <f t="shared" ref="O456:O501" si="92">M456+N456</f>
        <v>0</v>
      </c>
      <c r="P456" s="226" t="s">
        <v>203</v>
      </c>
      <c r="Q456" s="187"/>
      <c r="R456" s="172">
        <v>1</v>
      </c>
      <c r="S456" s="172">
        <v>1</v>
      </c>
      <c r="T456" s="169">
        <v>16</v>
      </c>
      <c r="U456" s="169">
        <v>16</v>
      </c>
      <c r="V456" s="169">
        <v>0</v>
      </c>
      <c r="W456" s="169">
        <v>16</v>
      </c>
      <c r="X456" s="169">
        <f t="shared" ref="X456:X498" si="93">T456-W456</f>
        <v>0</v>
      </c>
    </row>
    <row r="457" spans="1:24" ht="16.149999999999999" customHeight="1" x14ac:dyDescent="0.2">
      <c r="A457" s="170" t="s">
        <v>1013</v>
      </c>
      <c r="B457" s="171">
        <v>38183</v>
      </c>
      <c r="C457" s="171" t="s">
        <v>203</v>
      </c>
      <c r="D457" s="165"/>
      <c r="E457" s="165"/>
      <c r="F457" s="165" t="s">
        <v>203</v>
      </c>
      <c r="G457" s="167">
        <v>243.59</v>
      </c>
      <c r="H457" s="166">
        <v>0</v>
      </c>
      <c r="I457" s="167">
        <f t="shared" si="88"/>
        <v>243.59</v>
      </c>
      <c r="J457" s="167">
        <v>243.59</v>
      </c>
      <c r="K457" s="166">
        <v>0</v>
      </c>
      <c r="L457" s="167">
        <f t="shared" si="89"/>
        <v>243.59</v>
      </c>
      <c r="M457" s="127">
        <f t="shared" si="90"/>
        <v>0</v>
      </c>
      <c r="N457" s="167">
        <f t="shared" si="91"/>
        <v>0</v>
      </c>
      <c r="O457" s="167">
        <f t="shared" si="92"/>
        <v>0</v>
      </c>
      <c r="P457" s="226" t="s">
        <v>203</v>
      </c>
      <c r="Q457" s="187"/>
      <c r="R457" s="172">
        <v>1</v>
      </c>
      <c r="S457" s="172">
        <v>1</v>
      </c>
      <c r="T457" s="169">
        <v>55</v>
      </c>
      <c r="U457" s="169">
        <v>55</v>
      </c>
      <c r="V457" s="169">
        <v>0</v>
      </c>
      <c r="W457" s="169">
        <v>55</v>
      </c>
      <c r="X457" s="169">
        <f t="shared" si="93"/>
        <v>0</v>
      </c>
    </row>
    <row r="458" spans="1:24" ht="16.149999999999999" customHeight="1" x14ac:dyDescent="0.2">
      <c r="A458" s="170" t="s">
        <v>1014</v>
      </c>
      <c r="B458" s="171">
        <v>38243</v>
      </c>
      <c r="C458" s="171">
        <v>38652</v>
      </c>
      <c r="D458" s="165"/>
      <c r="E458" s="165"/>
      <c r="F458" s="165">
        <v>39017</v>
      </c>
      <c r="G458" s="167">
        <f>572.38+33.86+24.53-2.58</f>
        <v>628.18999999999994</v>
      </c>
      <c r="H458" s="166">
        <v>0</v>
      </c>
      <c r="I458" s="167">
        <f t="shared" si="88"/>
        <v>628.18999999999994</v>
      </c>
      <c r="J458" s="167">
        <f>603.66+24.53</f>
        <v>628.18999999999994</v>
      </c>
      <c r="K458" s="166">
        <v>0</v>
      </c>
      <c r="L458" s="167">
        <f t="shared" si="89"/>
        <v>628.18999999999994</v>
      </c>
      <c r="M458" s="127">
        <f t="shared" si="90"/>
        <v>0</v>
      </c>
      <c r="N458" s="167">
        <f t="shared" si="91"/>
        <v>0</v>
      </c>
      <c r="O458" s="167">
        <f t="shared" si="92"/>
        <v>0</v>
      </c>
      <c r="P458" s="227">
        <f>24.53-24.53</f>
        <v>0</v>
      </c>
      <c r="Q458" s="187"/>
      <c r="R458" s="172">
        <v>1</v>
      </c>
      <c r="S458" s="172">
        <v>1</v>
      </c>
      <c r="T458" s="169">
        <f>116+6</f>
        <v>122</v>
      </c>
      <c r="U458" s="169">
        <f>116+6</f>
        <v>122</v>
      </c>
      <c r="V458" s="169">
        <v>0</v>
      </c>
      <c r="W458" s="169">
        <v>122</v>
      </c>
      <c r="X458" s="169">
        <f t="shared" si="93"/>
        <v>0</v>
      </c>
    </row>
    <row r="459" spans="1:24" ht="16.149999999999999" customHeight="1" x14ac:dyDescent="0.2">
      <c r="A459" s="170" t="s">
        <v>1015</v>
      </c>
      <c r="B459" s="171">
        <v>38274</v>
      </c>
      <c r="C459" s="171">
        <v>39255</v>
      </c>
      <c r="D459" s="165"/>
      <c r="E459" s="165"/>
      <c r="F459" s="165">
        <v>39461</v>
      </c>
      <c r="G459" s="167">
        <f>214.76+70.63-3.98</f>
        <v>281.40999999999997</v>
      </c>
      <c r="H459" s="166">
        <v>0</v>
      </c>
      <c r="I459" s="167">
        <f t="shared" si="88"/>
        <v>281.40999999999997</v>
      </c>
      <c r="J459" s="167">
        <f>56.76+91.97+48.9+32.97+2.63+48.18</f>
        <v>281.40999999999997</v>
      </c>
      <c r="K459" s="166">
        <v>0</v>
      </c>
      <c r="L459" s="167">
        <f t="shared" si="89"/>
        <v>281.40999999999997</v>
      </c>
      <c r="M459" s="127">
        <f t="shared" si="90"/>
        <v>0</v>
      </c>
      <c r="N459" s="167">
        <f t="shared" si="91"/>
        <v>0</v>
      </c>
      <c r="O459" s="167">
        <f t="shared" si="92"/>
        <v>0</v>
      </c>
      <c r="P459" s="226" t="s">
        <v>203</v>
      </c>
      <c r="Q459" s="187"/>
      <c r="R459" s="172">
        <v>1</v>
      </c>
      <c r="S459" s="172">
        <v>0.98</v>
      </c>
      <c r="T459" s="169">
        <v>52</v>
      </c>
      <c r="U459" s="169">
        <v>52</v>
      </c>
      <c r="V459" s="169">
        <v>1</v>
      </c>
      <c r="W459" s="169">
        <v>51</v>
      </c>
      <c r="X459" s="169">
        <f t="shared" si="93"/>
        <v>1</v>
      </c>
    </row>
    <row r="460" spans="1:24" ht="16.149999999999999" customHeight="1" x14ac:dyDescent="0.2">
      <c r="A460" s="170" t="s">
        <v>1016</v>
      </c>
      <c r="B460" s="171">
        <v>38274</v>
      </c>
      <c r="C460" s="171">
        <v>39436</v>
      </c>
      <c r="D460" s="165"/>
      <c r="E460" s="165"/>
      <c r="F460" s="165">
        <v>39461</v>
      </c>
      <c r="G460" s="167">
        <f>124.2+40.37</f>
        <v>164.57</v>
      </c>
      <c r="H460" s="166">
        <v>0</v>
      </c>
      <c r="I460" s="167">
        <f t="shared" si="88"/>
        <v>164.57</v>
      </c>
      <c r="J460" s="167">
        <f>126.27+7.85+30.45</f>
        <v>164.57</v>
      </c>
      <c r="K460" s="166">
        <v>0</v>
      </c>
      <c r="L460" s="167">
        <f t="shared" si="89"/>
        <v>164.57</v>
      </c>
      <c r="M460" s="127">
        <f t="shared" si="90"/>
        <v>0</v>
      </c>
      <c r="N460" s="167">
        <f t="shared" si="91"/>
        <v>0</v>
      </c>
      <c r="O460" s="167">
        <f t="shared" si="92"/>
        <v>0</v>
      </c>
      <c r="P460" s="226" t="s">
        <v>203</v>
      </c>
      <c r="Q460" s="187"/>
      <c r="R460" s="172">
        <v>1</v>
      </c>
      <c r="S460" s="172">
        <v>1</v>
      </c>
      <c r="T460" s="169">
        <v>31</v>
      </c>
      <c r="U460" s="169">
        <v>31</v>
      </c>
      <c r="V460" s="169">
        <v>0</v>
      </c>
      <c r="W460" s="169">
        <v>31</v>
      </c>
      <c r="X460" s="169">
        <f t="shared" si="93"/>
        <v>0</v>
      </c>
    </row>
    <row r="461" spans="1:24" ht="16.149999999999999" customHeight="1" x14ac:dyDescent="0.2">
      <c r="A461" s="170" t="s">
        <v>36</v>
      </c>
      <c r="B461" s="171" t="s">
        <v>248</v>
      </c>
      <c r="C461" s="171">
        <v>38905</v>
      </c>
      <c r="D461" s="165"/>
      <c r="E461" s="165"/>
      <c r="F461" s="165">
        <v>39538</v>
      </c>
      <c r="G461" s="167">
        <f>573.42+52.93+53.7+17.79+50.49-3.85</f>
        <v>744.4799999999999</v>
      </c>
      <c r="H461" s="166">
        <v>0</v>
      </c>
      <c r="I461" s="167">
        <f t="shared" si="88"/>
        <v>744.4799999999999</v>
      </c>
      <c r="J461" s="167">
        <f>688.38+4.17+1.44+50.49</f>
        <v>744.48</v>
      </c>
      <c r="K461" s="166">
        <v>0</v>
      </c>
      <c r="L461" s="167">
        <f t="shared" si="89"/>
        <v>744.48</v>
      </c>
      <c r="M461" s="127">
        <f t="shared" si="90"/>
        <v>0</v>
      </c>
      <c r="N461" s="167">
        <f t="shared" si="91"/>
        <v>0</v>
      </c>
      <c r="O461" s="167">
        <f t="shared" si="92"/>
        <v>0</v>
      </c>
      <c r="P461" s="227">
        <f>50.49-0.62-2.25-0.02-47.6</f>
        <v>0</v>
      </c>
      <c r="Q461" s="187"/>
      <c r="R461" s="172">
        <v>1</v>
      </c>
      <c r="S461" s="172">
        <v>1</v>
      </c>
      <c r="T461" s="169">
        <v>111</v>
      </c>
      <c r="U461" s="169">
        <v>111</v>
      </c>
      <c r="V461" s="169">
        <v>0</v>
      </c>
      <c r="W461" s="169">
        <v>111</v>
      </c>
      <c r="X461" s="169">
        <f t="shared" si="93"/>
        <v>0</v>
      </c>
    </row>
    <row r="462" spans="1:24" ht="16.149999999999999" customHeight="1" x14ac:dyDescent="0.2">
      <c r="A462" s="170" t="s">
        <v>1017</v>
      </c>
      <c r="B462" s="171">
        <v>39755</v>
      </c>
      <c r="C462" s="171" t="s">
        <v>203</v>
      </c>
      <c r="D462" s="165" t="s">
        <v>203</v>
      </c>
      <c r="E462" s="165" t="s">
        <v>203</v>
      </c>
      <c r="F462" s="165" t="s">
        <v>203</v>
      </c>
      <c r="G462" s="167">
        <v>54.42</v>
      </c>
      <c r="H462" s="166">
        <v>0</v>
      </c>
      <c r="I462" s="167">
        <f t="shared" si="88"/>
        <v>54.42</v>
      </c>
      <c r="J462" s="167">
        <v>54.42</v>
      </c>
      <c r="K462" s="166">
        <v>0</v>
      </c>
      <c r="L462" s="167">
        <f t="shared" si="89"/>
        <v>54.42</v>
      </c>
      <c r="M462" s="127">
        <f t="shared" si="90"/>
        <v>0</v>
      </c>
      <c r="N462" s="167">
        <f t="shared" si="91"/>
        <v>0</v>
      </c>
      <c r="O462" s="167">
        <f t="shared" si="92"/>
        <v>0</v>
      </c>
      <c r="P462" s="226" t="s">
        <v>203</v>
      </c>
      <c r="Q462" s="187"/>
      <c r="R462" s="172">
        <v>1</v>
      </c>
      <c r="S462" s="172">
        <v>1</v>
      </c>
      <c r="T462" s="169">
        <v>7</v>
      </c>
      <c r="U462" s="169">
        <v>7</v>
      </c>
      <c r="V462" s="169">
        <v>0</v>
      </c>
      <c r="W462" s="169">
        <v>7</v>
      </c>
      <c r="X462" s="169">
        <f t="shared" si="93"/>
        <v>0</v>
      </c>
    </row>
    <row r="463" spans="1:24" ht="16.149999999999999" customHeight="1" x14ac:dyDescent="0.2">
      <c r="A463" s="170" t="s">
        <v>1018</v>
      </c>
      <c r="B463" s="177" t="s">
        <v>1019</v>
      </c>
      <c r="C463" s="171" t="s">
        <v>203</v>
      </c>
      <c r="D463" s="165" t="s">
        <v>203</v>
      </c>
      <c r="E463" s="165" t="s">
        <v>203</v>
      </c>
      <c r="F463" s="165" t="s">
        <v>203</v>
      </c>
      <c r="G463" s="167">
        <f>119.58+11.74+106.92+47.4+23.64+12.04+11.69</f>
        <v>333.01</v>
      </c>
      <c r="H463" s="166">
        <v>0</v>
      </c>
      <c r="I463" s="167">
        <f t="shared" si="88"/>
        <v>333.01</v>
      </c>
      <c r="J463" s="167">
        <v>333.01</v>
      </c>
      <c r="K463" s="166">
        <v>0</v>
      </c>
      <c r="L463" s="167">
        <f t="shared" si="89"/>
        <v>333.01</v>
      </c>
      <c r="M463" s="127">
        <f t="shared" si="90"/>
        <v>0</v>
      </c>
      <c r="N463" s="167">
        <f t="shared" si="91"/>
        <v>0</v>
      </c>
      <c r="O463" s="167">
        <f t="shared" si="92"/>
        <v>0</v>
      </c>
      <c r="P463" s="226" t="s">
        <v>203</v>
      </c>
      <c r="Q463" s="187"/>
      <c r="R463" s="172">
        <v>1</v>
      </c>
      <c r="S463" s="172">
        <v>1</v>
      </c>
      <c r="T463" s="169">
        <v>28</v>
      </c>
      <c r="U463" s="169">
        <v>28</v>
      </c>
      <c r="V463" s="169">
        <v>0</v>
      </c>
      <c r="W463" s="169">
        <v>28</v>
      </c>
      <c r="X463" s="169">
        <f t="shared" si="93"/>
        <v>0</v>
      </c>
    </row>
    <row r="464" spans="1:24" ht="16.149999999999999" customHeight="1" x14ac:dyDescent="0.2">
      <c r="A464" s="170" t="s">
        <v>1020</v>
      </c>
      <c r="B464" s="171" t="s">
        <v>1021</v>
      </c>
      <c r="C464" s="171" t="s">
        <v>203</v>
      </c>
      <c r="D464" s="165" t="s">
        <v>203</v>
      </c>
      <c r="E464" s="165" t="s">
        <v>203</v>
      </c>
      <c r="F464" s="165" t="s">
        <v>203</v>
      </c>
      <c r="G464" s="167">
        <f>57.19+9.34+9.4</f>
        <v>75.930000000000007</v>
      </c>
      <c r="H464" s="166">
        <v>0</v>
      </c>
      <c r="I464" s="167">
        <f t="shared" si="88"/>
        <v>75.930000000000007</v>
      </c>
      <c r="J464" s="167">
        <v>75.930000000000007</v>
      </c>
      <c r="K464" s="166">
        <v>0</v>
      </c>
      <c r="L464" s="167">
        <f t="shared" si="89"/>
        <v>75.930000000000007</v>
      </c>
      <c r="M464" s="127">
        <f t="shared" si="90"/>
        <v>0</v>
      </c>
      <c r="N464" s="167">
        <f t="shared" si="91"/>
        <v>0</v>
      </c>
      <c r="O464" s="167">
        <f t="shared" si="92"/>
        <v>0</v>
      </c>
      <c r="P464" s="226" t="s">
        <v>203</v>
      </c>
      <c r="Q464" s="187"/>
      <c r="R464" s="172">
        <v>1</v>
      </c>
      <c r="S464" s="172">
        <v>1</v>
      </c>
      <c r="T464" s="169">
        <f>6+1+1</f>
        <v>8</v>
      </c>
      <c r="U464" s="169">
        <f>6+1+1</f>
        <v>8</v>
      </c>
      <c r="V464" s="169">
        <v>0</v>
      </c>
      <c r="W464" s="169">
        <v>8</v>
      </c>
      <c r="X464" s="169">
        <f t="shared" si="93"/>
        <v>0</v>
      </c>
    </row>
    <row r="465" spans="1:24" ht="16.149999999999999" customHeight="1" x14ac:dyDescent="0.2">
      <c r="A465" s="170" t="s">
        <v>1022</v>
      </c>
      <c r="B465" s="171">
        <v>40163</v>
      </c>
      <c r="C465" s="171" t="s">
        <v>203</v>
      </c>
      <c r="D465" s="165" t="s">
        <v>203</v>
      </c>
      <c r="E465" s="165" t="s">
        <v>203</v>
      </c>
      <c r="F465" s="165" t="s">
        <v>203</v>
      </c>
      <c r="G465" s="167">
        <v>100.38</v>
      </c>
      <c r="H465" s="166">
        <v>0</v>
      </c>
      <c r="I465" s="167">
        <f t="shared" si="88"/>
        <v>100.38</v>
      </c>
      <c r="J465" s="167">
        <v>100.38</v>
      </c>
      <c r="K465" s="166">
        <v>0</v>
      </c>
      <c r="L465" s="167">
        <f t="shared" si="89"/>
        <v>100.38</v>
      </c>
      <c r="M465" s="127">
        <f t="shared" si="90"/>
        <v>0</v>
      </c>
      <c r="N465" s="167">
        <f t="shared" si="91"/>
        <v>0</v>
      </c>
      <c r="O465" s="167">
        <f t="shared" si="92"/>
        <v>0</v>
      </c>
      <c r="P465" s="226" t="s">
        <v>203</v>
      </c>
      <c r="Q465" s="187"/>
      <c r="R465" s="172">
        <v>1</v>
      </c>
      <c r="S465" s="172">
        <v>1</v>
      </c>
      <c r="T465" s="169">
        <v>11</v>
      </c>
      <c r="U465" s="169">
        <v>11</v>
      </c>
      <c r="V465" s="169">
        <v>0</v>
      </c>
      <c r="W465" s="169">
        <v>11</v>
      </c>
      <c r="X465" s="169">
        <f t="shared" si="93"/>
        <v>0</v>
      </c>
    </row>
    <row r="466" spans="1:24" ht="16.149999999999999" customHeight="1" x14ac:dyDescent="0.2">
      <c r="A466" s="170" t="s">
        <v>1023</v>
      </c>
      <c r="B466" s="171" t="s">
        <v>1024</v>
      </c>
      <c r="C466" s="171" t="s">
        <v>203</v>
      </c>
      <c r="D466" s="165" t="s">
        <v>203</v>
      </c>
      <c r="E466" s="165" t="s">
        <v>203</v>
      </c>
      <c r="F466" s="165" t="s">
        <v>203</v>
      </c>
      <c r="G466" s="167">
        <f>44.01+9.42-9.19</f>
        <v>44.24</v>
      </c>
      <c r="H466" s="166">
        <v>0</v>
      </c>
      <c r="I466" s="167">
        <f t="shared" si="88"/>
        <v>44.24</v>
      </c>
      <c r="J466" s="167">
        <f>34.82+9.42</f>
        <v>44.24</v>
      </c>
      <c r="K466" s="166">
        <v>0</v>
      </c>
      <c r="L466" s="167">
        <f t="shared" si="89"/>
        <v>44.24</v>
      </c>
      <c r="M466" s="127">
        <f t="shared" si="90"/>
        <v>0</v>
      </c>
      <c r="N466" s="167">
        <f t="shared" si="91"/>
        <v>0</v>
      </c>
      <c r="O466" s="167">
        <f t="shared" si="92"/>
        <v>0</v>
      </c>
      <c r="P466" s="226" t="s">
        <v>203</v>
      </c>
      <c r="Q466" s="187"/>
      <c r="R466" s="172">
        <v>1</v>
      </c>
      <c r="S466" s="172">
        <v>1</v>
      </c>
      <c r="T466" s="169">
        <f>5+1-1</f>
        <v>5</v>
      </c>
      <c r="U466" s="169">
        <f>5+1-1</f>
        <v>5</v>
      </c>
      <c r="V466" s="169">
        <v>0</v>
      </c>
      <c r="W466" s="169">
        <v>5</v>
      </c>
      <c r="X466" s="169">
        <f t="shared" si="93"/>
        <v>0</v>
      </c>
    </row>
    <row r="467" spans="1:24" ht="16.149999999999999" customHeight="1" x14ac:dyDescent="0.2">
      <c r="A467" s="173" t="s">
        <v>1025</v>
      </c>
      <c r="B467" s="177">
        <v>40721</v>
      </c>
      <c r="C467" s="171" t="s">
        <v>203</v>
      </c>
      <c r="D467" s="165" t="s">
        <v>203</v>
      </c>
      <c r="E467" s="165" t="s">
        <v>203</v>
      </c>
      <c r="F467" s="165" t="s">
        <v>203</v>
      </c>
      <c r="G467" s="167">
        <v>89.59</v>
      </c>
      <c r="H467" s="167">
        <v>0</v>
      </c>
      <c r="I467" s="167">
        <f t="shared" si="88"/>
        <v>89.59</v>
      </c>
      <c r="J467" s="167">
        <v>89.59</v>
      </c>
      <c r="K467" s="167">
        <v>0</v>
      </c>
      <c r="L467" s="167">
        <f t="shared" si="89"/>
        <v>89.59</v>
      </c>
      <c r="M467" s="127">
        <f t="shared" si="90"/>
        <v>0</v>
      </c>
      <c r="N467" s="167">
        <f t="shared" si="91"/>
        <v>0</v>
      </c>
      <c r="O467" s="167">
        <f t="shared" si="92"/>
        <v>0</v>
      </c>
      <c r="P467" s="226" t="s">
        <v>203</v>
      </c>
      <c r="Q467" s="187"/>
      <c r="R467" s="128">
        <v>1</v>
      </c>
      <c r="S467" s="128">
        <v>1</v>
      </c>
      <c r="T467" s="174">
        <v>8</v>
      </c>
      <c r="U467" s="174">
        <v>8</v>
      </c>
      <c r="V467" s="174">
        <v>0</v>
      </c>
      <c r="W467" s="169">
        <v>8</v>
      </c>
      <c r="X467" s="169">
        <f t="shared" si="93"/>
        <v>0</v>
      </c>
    </row>
    <row r="468" spans="1:24" ht="16.149999999999999" customHeight="1" x14ac:dyDescent="0.2">
      <c r="A468" s="173" t="s">
        <v>1026</v>
      </c>
      <c r="B468" s="177" t="s">
        <v>1027</v>
      </c>
      <c r="C468" s="171"/>
      <c r="D468" s="165"/>
      <c r="E468" s="165"/>
      <c r="F468" s="165"/>
      <c r="G468" s="167">
        <f>800.89+21.42+4.47-5.9086</f>
        <v>820.87139999999999</v>
      </c>
      <c r="H468" s="167">
        <v>0</v>
      </c>
      <c r="I468" s="167">
        <f t="shared" si="88"/>
        <v>820.87139999999999</v>
      </c>
      <c r="J468" s="167">
        <f>447.31+101.15+34.69+19.88+10.59+9.97+20.03+9.86842648+160.582932+2.33+4.47</f>
        <v>820.87135848000025</v>
      </c>
      <c r="K468" s="167">
        <v>0</v>
      </c>
      <c r="L468" s="167">
        <f t="shared" si="89"/>
        <v>820.87135848000025</v>
      </c>
      <c r="M468" s="127">
        <f t="shared" si="90"/>
        <v>4.1519999740557978E-5</v>
      </c>
      <c r="N468" s="167">
        <f t="shared" si="91"/>
        <v>0</v>
      </c>
      <c r="O468" s="167">
        <f t="shared" si="92"/>
        <v>4.1519999740557978E-5</v>
      </c>
      <c r="P468" s="226" t="s">
        <v>203</v>
      </c>
      <c r="Q468" s="187"/>
      <c r="R468" s="128">
        <v>1</v>
      </c>
      <c r="S468" s="128">
        <v>1</v>
      </c>
      <c r="T468" s="174">
        <v>64</v>
      </c>
      <c r="U468" s="174">
        <v>64</v>
      </c>
      <c r="V468" s="174">
        <v>0</v>
      </c>
      <c r="W468" s="169">
        <v>64</v>
      </c>
      <c r="X468" s="169">
        <f t="shared" si="93"/>
        <v>0</v>
      </c>
    </row>
    <row r="469" spans="1:24" ht="16.149999999999999" customHeight="1" x14ac:dyDescent="0.2">
      <c r="A469" s="173" t="s">
        <v>1028</v>
      </c>
      <c r="B469" s="177">
        <v>41946</v>
      </c>
      <c r="C469" s="171"/>
      <c r="D469" s="165"/>
      <c r="E469" s="165"/>
      <c r="F469" s="165"/>
      <c r="G469" s="167">
        <f>97.68-0.76</f>
        <v>96.92</v>
      </c>
      <c r="H469" s="167">
        <v>0</v>
      </c>
      <c r="I469" s="167">
        <f t="shared" si="88"/>
        <v>96.92</v>
      </c>
      <c r="J469" s="167">
        <f>83.94+12.98</f>
        <v>96.92</v>
      </c>
      <c r="K469" s="167">
        <v>0</v>
      </c>
      <c r="L469" s="167">
        <f t="shared" si="89"/>
        <v>96.92</v>
      </c>
      <c r="M469" s="127">
        <f t="shared" si="90"/>
        <v>0</v>
      </c>
      <c r="N469" s="167">
        <f t="shared" si="91"/>
        <v>0</v>
      </c>
      <c r="O469" s="167">
        <f t="shared" si="92"/>
        <v>0</v>
      </c>
      <c r="P469" s="226" t="s">
        <v>203</v>
      </c>
      <c r="Q469" s="187"/>
      <c r="R469" s="128">
        <v>1</v>
      </c>
      <c r="S469" s="128">
        <v>1</v>
      </c>
      <c r="T469" s="174">
        <v>7</v>
      </c>
      <c r="U469" s="174">
        <v>7</v>
      </c>
      <c r="V469" s="174">
        <v>0</v>
      </c>
      <c r="W469" s="169">
        <v>7</v>
      </c>
      <c r="X469" s="169">
        <f t="shared" si="93"/>
        <v>0</v>
      </c>
    </row>
    <row r="470" spans="1:24" ht="16.149999999999999" customHeight="1" x14ac:dyDescent="0.2">
      <c r="A470" s="173" t="s">
        <v>377</v>
      </c>
      <c r="B470" s="171">
        <v>42212</v>
      </c>
      <c r="C470" s="171"/>
      <c r="D470" s="165" t="s">
        <v>434</v>
      </c>
      <c r="E470" s="165"/>
      <c r="F470" s="165" t="s">
        <v>435</v>
      </c>
      <c r="G470" s="167">
        <v>268.31</v>
      </c>
      <c r="H470" s="167">
        <v>0</v>
      </c>
      <c r="I470" s="167">
        <f t="shared" si="88"/>
        <v>268.31</v>
      </c>
      <c r="J470" s="167">
        <f>52.1+32.78+33.42+18.2+11.54+16.86+7.36+12.52+10.5+6.41+6.47+40.22+8.09</f>
        <v>256.46999999999997</v>
      </c>
      <c r="K470" s="167">
        <v>0</v>
      </c>
      <c r="L470" s="167">
        <f t="shared" si="89"/>
        <v>256.46999999999997</v>
      </c>
      <c r="M470" s="127">
        <f t="shared" si="90"/>
        <v>11.840000000000032</v>
      </c>
      <c r="N470" s="167">
        <f t="shared" si="91"/>
        <v>0</v>
      </c>
      <c r="O470" s="167">
        <f t="shared" si="92"/>
        <v>11.840000000000032</v>
      </c>
      <c r="P470" s="226" t="s">
        <v>203</v>
      </c>
      <c r="Q470" s="187"/>
      <c r="R470" s="128">
        <v>1</v>
      </c>
      <c r="S470" s="128">
        <v>0.94</v>
      </c>
      <c r="T470" s="174">
        <v>20</v>
      </c>
      <c r="U470" s="174">
        <v>20</v>
      </c>
      <c r="V470" s="174">
        <v>20</v>
      </c>
      <c r="W470" s="169">
        <v>20</v>
      </c>
      <c r="X470" s="169">
        <f t="shared" si="93"/>
        <v>0</v>
      </c>
    </row>
    <row r="471" spans="1:24" ht="16.149999999999999" customHeight="1" x14ac:dyDescent="0.2">
      <c r="A471" s="173" t="s">
        <v>1029</v>
      </c>
      <c r="B471" s="171">
        <v>42247</v>
      </c>
      <c r="C471" s="171" t="s">
        <v>203</v>
      </c>
      <c r="D471" s="165" t="s">
        <v>203</v>
      </c>
      <c r="E471" s="165" t="s">
        <v>203</v>
      </c>
      <c r="F471" s="165" t="s">
        <v>203</v>
      </c>
      <c r="G471" s="167">
        <v>86.14</v>
      </c>
      <c r="H471" s="167">
        <v>0</v>
      </c>
      <c r="I471" s="167">
        <f t="shared" si="88"/>
        <v>86.14</v>
      </c>
      <c r="J471" s="167">
        <f>75.17+10.97</f>
        <v>86.14</v>
      </c>
      <c r="K471" s="167">
        <v>0</v>
      </c>
      <c r="L471" s="167">
        <f t="shared" si="89"/>
        <v>86.14</v>
      </c>
      <c r="M471" s="127">
        <f t="shared" si="90"/>
        <v>0</v>
      </c>
      <c r="N471" s="167">
        <f t="shared" si="91"/>
        <v>0</v>
      </c>
      <c r="O471" s="167">
        <f t="shared" si="92"/>
        <v>0</v>
      </c>
      <c r="P471" s="226" t="s">
        <v>203</v>
      </c>
      <c r="Q471" s="187"/>
      <c r="R471" s="128">
        <v>1</v>
      </c>
      <c r="S471" s="128">
        <v>0</v>
      </c>
      <c r="T471" s="174">
        <v>7</v>
      </c>
      <c r="U471" s="174">
        <v>7</v>
      </c>
      <c r="V471" s="174">
        <v>0</v>
      </c>
      <c r="W471" s="169">
        <v>7</v>
      </c>
      <c r="X471" s="169">
        <f t="shared" si="93"/>
        <v>0</v>
      </c>
    </row>
    <row r="472" spans="1:24" ht="16.149999999999999" customHeight="1" x14ac:dyDescent="0.2">
      <c r="A472" s="173" t="s">
        <v>1030</v>
      </c>
      <c r="B472" s="171">
        <v>42275</v>
      </c>
      <c r="C472" s="171" t="s">
        <v>203</v>
      </c>
      <c r="D472" s="165" t="s">
        <v>203</v>
      </c>
      <c r="E472" s="165" t="s">
        <v>203</v>
      </c>
      <c r="F472" s="165" t="s">
        <v>203</v>
      </c>
      <c r="G472" s="167">
        <f>43.18-0.43</f>
        <v>42.75</v>
      </c>
      <c r="H472" s="167">
        <v>0</v>
      </c>
      <c r="I472" s="167">
        <f t="shared" si="88"/>
        <v>42.75</v>
      </c>
      <c r="J472" s="167">
        <v>42.75</v>
      </c>
      <c r="K472" s="167">
        <v>0</v>
      </c>
      <c r="L472" s="167">
        <f t="shared" si="89"/>
        <v>42.75</v>
      </c>
      <c r="M472" s="127">
        <f t="shared" si="90"/>
        <v>0</v>
      </c>
      <c r="N472" s="167">
        <f t="shared" si="91"/>
        <v>0</v>
      </c>
      <c r="O472" s="167">
        <f t="shared" si="92"/>
        <v>0</v>
      </c>
      <c r="P472" s="226" t="s">
        <v>203</v>
      </c>
      <c r="Q472" s="187"/>
      <c r="R472" s="128">
        <v>1</v>
      </c>
      <c r="S472" s="128">
        <v>1</v>
      </c>
      <c r="T472" s="174">
        <v>3</v>
      </c>
      <c r="U472" s="174">
        <v>3</v>
      </c>
      <c r="V472" s="174">
        <v>3</v>
      </c>
      <c r="W472" s="169">
        <v>0</v>
      </c>
      <c r="X472" s="169">
        <f t="shared" si="93"/>
        <v>3</v>
      </c>
    </row>
    <row r="473" spans="1:24" ht="16.149999999999999" customHeight="1" x14ac:dyDescent="0.2">
      <c r="A473" s="173" t="s">
        <v>390</v>
      </c>
      <c r="B473" s="171" t="s">
        <v>1342</v>
      </c>
      <c r="C473" s="171" t="s">
        <v>1343</v>
      </c>
      <c r="D473" s="165"/>
      <c r="E473" s="165"/>
      <c r="F473" s="165"/>
      <c r="G473" s="167">
        <f>543.28+107.23+87.85+2.86</f>
        <v>741.22</v>
      </c>
      <c r="H473" s="167">
        <v>0</v>
      </c>
      <c r="I473" s="167">
        <f t="shared" si="88"/>
        <v>741.22</v>
      </c>
      <c r="J473" s="167">
        <f>171.53-167.15+164.59+65.61+38.19+115.45+29.8+43.98+91.61+12.45+17.97+3.73+11.43</f>
        <v>599.19000000000005</v>
      </c>
      <c r="K473" s="167">
        <v>0</v>
      </c>
      <c r="L473" s="167">
        <f t="shared" si="89"/>
        <v>599.19000000000005</v>
      </c>
      <c r="M473" s="127">
        <f t="shared" si="90"/>
        <v>142.02999999999997</v>
      </c>
      <c r="N473" s="167">
        <f t="shared" si="91"/>
        <v>0</v>
      </c>
      <c r="O473" s="167">
        <f t="shared" si="92"/>
        <v>142.02999999999997</v>
      </c>
      <c r="P473" s="226" t="s">
        <v>203</v>
      </c>
      <c r="Q473" s="187"/>
      <c r="R473" s="128">
        <v>1</v>
      </c>
      <c r="S473" s="128">
        <v>0.93500000000000005</v>
      </c>
      <c r="T473" s="174">
        <v>36</v>
      </c>
      <c r="U473" s="174">
        <v>36</v>
      </c>
      <c r="V473" s="174">
        <v>0</v>
      </c>
      <c r="W473" s="169">
        <v>36</v>
      </c>
      <c r="X473" s="169">
        <f t="shared" si="93"/>
        <v>0</v>
      </c>
    </row>
    <row r="474" spans="1:24" ht="16.149999999999999" customHeight="1" x14ac:dyDescent="0.2">
      <c r="A474" s="173" t="s">
        <v>1031</v>
      </c>
      <c r="B474" s="171" t="s">
        <v>1032</v>
      </c>
      <c r="C474" s="171" t="s">
        <v>203</v>
      </c>
      <c r="D474" s="165" t="s">
        <v>203</v>
      </c>
      <c r="E474" s="165" t="s">
        <v>203</v>
      </c>
      <c r="F474" s="165" t="s">
        <v>203</v>
      </c>
      <c r="G474" s="167">
        <f>182.92+163.81+32.55+33.48-0.78</f>
        <v>411.98000000000008</v>
      </c>
      <c r="H474" s="167">
        <v>0</v>
      </c>
      <c r="I474" s="167">
        <f t="shared" si="88"/>
        <v>411.98000000000008</v>
      </c>
      <c r="J474" s="167">
        <f>346.72+32.55+32.71</f>
        <v>411.98</v>
      </c>
      <c r="K474" s="167">
        <v>0</v>
      </c>
      <c r="L474" s="167">
        <f t="shared" si="89"/>
        <v>411.98</v>
      </c>
      <c r="M474" s="127">
        <f t="shared" si="90"/>
        <v>0</v>
      </c>
      <c r="N474" s="167">
        <f t="shared" si="91"/>
        <v>0</v>
      </c>
      <c r="O474" s="167">
        <f t="shared" si="92"/>
        <v>0</v>
      </c>
      <c r="P474" s="226" t="s">
        <v>203</v>
      </c>
      <c r="Q474" s="187"/>
      <c r="R474" s="128">
        <v>1</v>
      </c>
      <c r="S474" s="128">
        <v>1</v>
      </c>
      <c r="T474" s="174">
        <f>11+10+2+2</f>
        <v>25</v>
      </c>
      <c r="U474" s="174">
        <f>11+10+2+2</f>
        <v>25</v>
      </c>
      <c r="V474" s="174">
        <v>0</v>
      </c>
      <c r="W474" s="169">
        <v>25</v>
      </c>
      <c r="X474" s="169">
        <f t="shared" si="93"/>
        <v>0</v>
      </c>
    </row>
    <row r="475" spans="1:24" ht="16.149999999999999" customHeight="1" x14ac:dyDescent="0.2">
      <c r="A475" s="173" t="s">
        <v>1033</v>
      </c>
      <c r="B475" s="171" t="s">
        <v>1034</v>
      </c>
      <c r="C475" s="171" t="s">
        <v>203</v>
      </c>
      <c r="D475" s="165" t="s">
        <v>203</v>
      </c>
      <c r="E475" s="165" t="s">
        <v>203</v>
      </c>
      <c r="F475" s="165" t="s">
        <v>203</v>
      </c>
      <c r="G475" s="167">
        <f>682.32+21.53</f>
        <v>703.85</v>
      </c>
      <c r="H475" s="167">
        <v>0</v>
      </c>
      <c r="I475" s="167">
        <f t="shared" si="88"/>
        <v>703.85</v>
      </c>
      <c r="J475" s="167">
        <f>586.37+95.93+21.41</f>
        <v>703.70999999999992</v>
      </c>
      <c r="K475" s="167">
        <v>0</v>
      </c>
      <c r="L475" s="167">
        <f t="shared" si="89"/>
        <v>703.70999999999992</v>
      </c>
      <c r="M475" s="127">
        <f t="shared" si="90"/>
        <v>0.14000000000010004</v>
      </c>
      <c r="N475" s="167">
        <f t="shared" si="91"/>
        <v>0</v>
      </c>
      <c r="O475" s="167">
        <f t="shared" si="92"/>
        <v>0.14000000000010004</v>
      </c>
      <c r="P475" s="226" t="s">
        <v>203</v>
      </c>
      <c r="Q475" s="187"/>
      <c r="R475" s="128">
        <v>1</v>
      </c>
      <c r="S475" s="128">
        <v>1</v>
      </c>
      <c r="T475" s="174">
        <f>35+1</f>
        <v>36</v>
      </c>
      <c r="U475" s="174">
        <f>35+1</f>
        <v>36</v>
      </c>
      <c r="V475" s="174">
        <v>0</v>
      </c>
      <c r="W475" s="169">
        <v>36</v>
      </c>
      <c r="X475" s="169">
        <f t="shared" si="93"/>
        <v>0</v>
      </c>
    </row>
    <row r="476" spans="1:24" ht="16.149999999999999" customHeight="1" x14ac:dyDescent="0.2">
      <c r="A476" s="173" t="s">
        <v>1035</v>
      </c>
      <c r="B476" s="177">
        <v>42520</v>
      </c>
      <c r="C476" s="171" t="s">
        <v>203</v>
      </c>
      <c r="D476" s="165" t="s">
        <v>203</v>
      </c>
      <c r="E476" s="165" t="s">
        <v>203</v>
      </c>
      <c r="F476" s="165" t="s">
        <v>203</v>
      </c>
      <c r="G476" s="167">
        <v>149.04</v>
      </c>
      <c r="H476" s="167">
        <v>0</v>
      </c>
      <c r="I476" s="167">
        <f t="shared" si="88"/>
        <v>149.04</v>
      </c>
      <c r="J476" s="167">
        <f>108.96+12.96+13.81+13.31</f>
        <v>149.04</v>
      </c>
      <c r="K476" s="167">
        <v>0</v>
      </c>
      <c r="L476" s="167">
        <f t="shared" si="89"/>
        <v>149.04</v>
      </c>
      <c r="M476" s="127">
        <f t="shared" si="90"/>
        <v>0</v>
      </c>
      <c r="N476" s="167">
        <f t="shared" si="91"/>
        <v>0</v>
      </c>
      <c r="O476" s="167">
        <f t="shared" si="92"/>
        <v>0</v>
      </c>
      <c r="P476" s="184" t="s">
        <v>203</v>
      </c>
      <c r="Q476" s="187"/>
      <c r="R476" s="128">
        <v>1</v>
      </c>
      <c r="S476" s="128">
        <v>1</v>
      </c>
      <c r="T476" s="174">
        <v>11</v>
      </c>
      <c r="U476" s="174">
        <v>11</v>
      </c>
      <c r="V476" s="174">
        <v>0</v>
      </c>
      <c r="W476" s="169">
        <v>11</v>
      </c>
      <c r="X476" s="169">
        <f t="shared" si="93"/>
        <v>0</v>
      </c>
    </row>
    <row r="477" spans="1:24" ht="16.149999999999999" customHeight="1" x14ac:dyDescent="0.2">
      <c r="A477" s="182" t="s">
        <v>1036</v>
      </c>
      <c r="B477" s="177" t="s">
        <v>1037</v>
      </c>
      <c r="C477" s="171" t="s">
        <v>203</v>
      </c>
      <c r="D477" s="165" t="s">
        <v>203</v>
      </c>
      <c r="E477" s="165" t="s">
        <v>203</v>
      </c>
      <c r="F477" s="165" t="s">
        <v>203</v>
      </c>
      <c r="G477" s="167">
        <f>80.34+15.45</f>
        <v>95.79</v>
      </c>
      <c r="H477" s="167">
        <v>0</v>
      </c>
      <c r="I477" s="167">
        <f t="shared" si="88"/>
        <v>95.79</v>
      </c>
      <c r="J477" s="167">
        <f>64.81+15.53+15.45</f>
        <v>95.79</v>
      </c>
      <c r="K477" s="167">
        <v>0</v>
      </c>
      <c r="L477" s="167">
        <f t="shared" si="89"/>
        <v>95.79</v>
      </c>
      <c r="M477" s="127">
        <f t="shared" si="90"/>
        <v>0</v>
      </c>
      <c r="N477" s="167">
        <f t="shared" si="91"/>
        <v>0</v>
      </c>
      <c r="O477" s="167">
        <f t="shared" si="92"/>
        <v>0</v>
      </c>
      <c r="P477" s="184" t="s">
        <v>203</v>
      </c>
      <c r="Q477" s="187"/>
      <c r="R477" s="128">
        <v>1</v>
      </c>
      <c r="S477" s="128">
        <v>1</v>
      </c>
      <c r="T477" s="174">
        <f>5+1</f>
        <v>6</v>
      </c>
      <c r="U477" s="174">
        <f>5+1</f>
        <v>6</v>
      </c>
      <c r="V477" s="174">
        <v>0</v>
      </c>
      <c r="W477" s="169">
        <v>6</v>
      </c>
      <c r="X477" s="169">
        <f t="shared" si="93"/>
        <v>0</v>
      </c>
    </row>
    <row r="478" spans="1:24" ht="16.149999999999999" customHeight="1" x14ac:dyDescent="0.2">
      <c r="A478" s="182" t="s">
        <v>417</v>
      </c>
      <c r="B478" s="177" t="s">
        <v>418</v>
      </c>
      <c r="C478" s="171" t="s">
        <v>203</v>
      </c>
      <c r="D478" s="165" t="s">
        <v>203</v>
      </c>
      <c r="E478" s="165" t="s">
        <v>203</v>
      </c>
      <c r="F478" s="165" t="s">
        <v>203</v>
      </c>
      <c r="G478" s="167">
        <f>1275.81+279.86</f>
        <v>1555.67</v>
      </c>
      <c r="H478" s="167">
        <v>0</v>
      </c>
      <c r="I478" s="167">
        <f t="shared" si="88"/>
        <v>1555.67</v>
      </c>
      <c r="J478" s="167">
        <f>1509.03+11.66</f>
        <v>1520.69</v>
      </c>
      <c r="K478" s="167">
        <v>0</v>
      </c>
      <c r="L478" s="167">
        <f t="shared" si="89"/>
        <v>1520.69</v>
      </c>
      <c r="M478" s="127">
        <f t="shared" si="90"/>
        <v>34.980000000000018</v>
      </c>
      <c r="N478" s="167">
        <f t="shared" si="91"/>
        <v>0</v>
      </c>
      <c r="O478" s="167">
        <f t="shared" si="92"/>
        <v>34.980000000000018</v>
      </c>
      <c r="P478" s="184" t="s">
        <v>203</v>
      </c>
      <c r="Q478" s="187"/>
      <c r="R478" s="128">
        <v>1</v>
      </c>
      <c r="S478" s="128">
        <v>0</v>
      </c>
      <c r="T478" s="174">
        <f>109+24</f>
        <v>133</v>
      </c>
      <c r="U478" s="174">
        <f>109+24</f>
        <v>133</v>
      </c>
      <c r="V478" s="174">
        <f>109+24</f>
        <v>133</v>
      </c>
      <c r="W478" s="169">
        <v>130</v>
      </c>
      <c r="X478" s="169">
        <f t="shared" si="93"/>
        <v>3</v>
      </c>
    </row>
    <row r="479" spans="1:24" ht="16.149999999999999" customHeight="1" x14ac:dyDescent="0.2">
      <c r="A479" s="173" t="s">
        <v>436</v>
      </c>
      <c r="B479" s="177" t="s">
        <v>569</v>
      </c>
      <c r="C479" s="171">
        <v>43308</v>
      </c>
      <c r="D479" s="165" t="s">
        <v>570</v>
      </c>
      <c r="E479" s="165"/>
      <c r="F479" s="165" t="s">
        <v>571</v>
      </c>
      <c r="G479" s="167">
        <f>4199.4+7.12+61.87</f>
        <v>4268.3899999999994</v>
      </c>
      <c r="H479" s="167">
        <v>0</v>
      </c>
      <c r="I479" s="167">
        <f t="shared" si="88"/>
        <v>4268.3899999999994</v>
      </c>
      <c r="J479" s="167">
        <f>1916.95+13.2+123.02+61.35+30.23+42.04+56.32+72.51+50.23+48.55+100.71+27.95+114.27+100.35+77.99+66.59+72.03+77.04+77.66+94.34+101.64+91.18+11.16+148.54+73.66+34.87+49.86+37.82+33.83+30.12+7.42+29.27+22.05+11.71+16.51+15.55+21.93+23.5+18.28+8.81+12.72+17.14+7.29+18.6+24.12+4.17+21.83+21.59+36.9+48.91+6.05+20.34</f>
        <v>4250.7</v>
      </c>
      <c r="K479" s="167">
        <v>0</v>
      </c>
      <c r="L479" s="167">
        <f t="shared" si="89"/>
        <v>4250.7</v>
      </c>
      <c r="M479" s="127">
        <f t="shared" si="90"/>
        <v>17.6899999999996</v>
      </c>
      <c r="N479" s="167">
        <f t="shared" si="91"/>
        <v>0</v>
      </c>
      <c r="O479" s="167">
        <f t="shared" si="92"/>
        <v>17.6899999999996</v>
      </c>
      <c r="P479" s="184" t="s">
        <v>203</v>
      </c>
      <c r="Q479" s="187"/>
      <c r="R479" s="128">
        <v>1</v>
      </c>
      <c r="S479" s="128">
        <v>0.51</v>
      </c>
      <c r="T479" s="174">
        <v>168</v>
      </c>
      <c r="U479" s="174">
        <v>168</v>
      </c>
      <c r="V479" s="174">
        <v>0</v>
      </c>
      <c r="W479" s="169">
        <v>168</v>
      </c>
      <c r="X479" s="169">
        <v>0</v>
      </c>
    </row>
    <row r="480" spans="1:24" ht="16.149999999999999" customHeight="1" x14ac:dyDescent="0.2">
      <c r="A480" s="173" t="s">
        <v>1038</v>
      </c>
      <c r="B480" s="177">
        <v>42667</v>
      </c>
      <c r="C480" s="171" t="s">
        <v>203</v>
      </c>
      <c r="D480" s="165" t="s">
        <v>203</v>
      </c>
      <c r="E480" s="165" t="s">
        <v>203</v>
      </c>
      <c r="F480" s="165" t="s">
        <v>203</v>
      </c>
      <c r="G480" s="167">
        <v>69.92</v>
      </c>
      <c r="H480" s="167">
        <v>0</v>
      </c>
      <c r="I480" s="167">
        <f t="shared" si="88"/>
        <v>69.92</v>
      </c>
      <c r="J480" s="167">
        <f>H480+I480</f>
        <v>69.92</v>
      </c>
      <c r="K480" s="167">
        <v>0</v>
      </c>
      <c r="L480" s="167">
        <f t="shared" si="89"/>
        <v>69.92</v>
      </c>
      <c r="M480" s="127">
        <f t="shared" si="90"/>
        <v>0</v>
      </c>
      <c r="N480" s="167">
        <f t="shared" si="91"/>
        <v>0</v>
      </c>
      <c r="O480" s="167">
        <f t="shared" si="92"/>
        <v>0</v>
      </c>
      <c r="P480" s="226" t="s">
        <v>203</v>
      </c>
      <c r="Q480" s="187"/>
      <c r="R480" s="128">
        <v>1</v>
      </c>
      <c r="S480" s="128">
        <v>1</v>
      </c>
      <c r="T480" s="174">
        <v>5</v>
      </c>
      <c r="U480" s="174">
        <v>5</v>
      </c>
      <c r="V480" s="174">
        <v>0</v>
      </c>
      <c r="W480" s="169">
        <v>5</v>
      </c>
      <c r="X480" s="169">
        <f t="shared" si="93"/>
        <v>0</v>
      </c>
    </row>
    <row r="481" spans="1:24" ht="16.149999999999999" customHeight="1" x14ac:dyDescent="0.2">
      <c r="A481" s="173" t="s">
        <v>1039</v>
      </c>
      <c r="B481" s="177" t="s">
        <v>1040</v>
      </c>
      <c r="C481" s="171" t="s">
        <v>203</v>
      </c>
      <c r="D481" s="165" t="s">
        <v>203</v>
      </c>
      <c r="E481" s="165" t="s">
        <v>203</v>
      </c>
      <c r="F481" s="165" t="s">
        <v>203</v>
      </c>
      <c r="G481" s="167">
        <f>168.41+12.98+12.21</f>
        <v>193.6</v>
      </c>
      <c r="H481" s="167">
        <v>0</v>
      </c>
      <c r="I481" s="167">
        <f t="shared" si="88"/>
        <v>193.6</v>
      </c>
      <c r="J481" s="167">
        <f>142.68+12.98+25.73+12.21</f>
        <v>193.6</v>
      </c>
      <c r="K481" s="167">
        <v>0</v>
      </c>
      <c r="L481" s="167">
        <f t="shared" si="89"/>
        <v>193.6</v>
      </c>
      <c r="M481" s="127">
        <f t="shared" si="90"/>
        <v>0</v>
      </c>
      <c r="N481" s="167">
        <f t="shared" si="91"/>
        <v>0</v>
      </c>
      <c r="O481" s="167">
        <f t="shared" si="92"/>
        <v>0</v>
      </c>
      <c r="P481" s="226" t="s">
        <v>203</v>
      </c>
      <c r="Q481" s="187"/>
      <c r="R481" s="128">
        <v>1</v>
      </c>
      <c r="S481" s="128">
        <v>1</v>
      </c>
      <c r="T481" s="174">
        <f>13+1+1</f>
        <v>15</v>
      </c>
      <c r="U481" s="174">
        <f>13+1+1</f>
        <v>15</v>
      </c>
      <c r="V481" s="174">
        <v>0</v>
      </c>
      <c r="W481" s="169">
        <v>15</v>
      </c>
      <c r="X481" s="169">
        <f t="shared" si="93"/>
        <v>0</v>
      </c>
    </row>
    <row r="482" spans="1:24" ht="16.149999999999999" customHeight="1" x14ac:dyDescent="0.2">
      <c r="A482" s="173" t="s">
        <v>1041</v>
      </c>
      <c r="B482" s="177">
        <v>42695</v>
      </c>
      <c r="C482" s="171" t="s">
        <v>203</v>
      </c>
      <c r="D482" s="165" t="s">
        <v>203</v>
      </c>
      <c r="E482" s="165" t="s">
        <v>203</v>
      </c>
      <c r="F482" s="165" t="s">
        <v>203</v>
      </c>
      <c r="G482" s="167">
        <v>126.41</v>
      </c>
      <c r="H482" s="167">
        <v>0</v>
      </c>
      <c r="I482" s="167">
        <f t="shared" si="88"/>
        <v>126.41</v>
      </c>
      <c r="J482" s="167">
        <v>126.41</v>
      </c>
      <c r="K482" s="167">
        <v>0</v>
      </c>
      <c r="L482" s="167">
        <f t="shared" si="89"/>
        <v>126.41</v>
      </c>
      <c r="M482" s="127">
        <f t="shared" si="90"/>
        <v>0</v>
      </c>
      <c r="N482" s="167">
        <f t="shared" si="91"/>
        <v>0</v>
      </c>
      <c r="O482" s="167">
        <f t="shared" si="92"/>
        <v>0</v>
      </c>
      <c r="P482" s="226" t="s">
        <v>203</v>
      </c>
      <c r="Q482" s="187"/>
      <c r="R482" s="128">
        <v>1</v>
      </c>
      <c r="S482" s="128">
        <v>1</v>
      </c>
      <c r="T482" s="174">
        <v>9</v>
      </c>
      <c r="U482" s="174">
        <v>9</v>
      </c>
      <c r="V482" s="174">
        <v>0</v>
      </c>
      <c r="W482" s="169">
        <v>9</v>
      </c>
      <c r="X482" s="169">
        <f t="shared" si="93"/>
        <v>0</v>
      </c>
    </row>
    <row r="483" spans="1:24" ht="16.149999999999999" customHeight="1" x14ac:dyDescent="0.2">
      <c r="A483" s="173" t="s">
        <v>454</v>
      </c>
      <c r="B483" s="177" t="s">
        <v>572</v>
      </c>
      <c r="C483" s="171" t="s">
        <v>203</v>
      </c>
      <c r="D483" s="165" t="s">
        <v>203</v>
      </c>
      <c r="E483" s="165" t="s">
        <v>203</v>
      </c>
      <c r="F483" s="165" t="s">
        <v>203</v>
      </c>
      <c r="G483" s="167">
        <f>60.23+86.25+0.01</f>
        <v>146.48999999999998</v>
      </c>
      <c r="H483" s="167">
        <v>0</v>
      </c>
      <c r="I483" s="167">
        <f t="shared" si="88"/>
        <v>146.48999999999998</v>
      </c>
      <c r="J483" s="167">
        <f>60.23+86.26</f>
        <v>146.49</v>
      </c>
      <c r="K483" s="167">
        <v>0</v>
      </c>
      <c r="L483" s="167">
        <f>J483+K483</f>
        <v>146.49</v>
      </c>
      <c r="M483" s="127">
        <f t="shared" si="90"/>
        <v>0</v>
      </c>
      <c r="N483" s="167">
        <f t="shared" si="91"/>
        <v>0</v>
      </c>
      <c r="O483" s="167">
        <f t="shared" si="92"/>
        <v>0</v>
      </c>
      <c r="P483" s="226" t="s">
        <v>203</v>
      </c>
      <c r="Q483" s="187"/>
      <c r="R483" s="128">
        <v>1</v>
      </c>
      <c r="S483" s="128">
        <v>1</v>
      </c>
      <c r="T483" s="174">
        <f>4+6</f>
        <v>10</v>
      </c>
      <c r="U483" s="174">
        <f>4+6</f>
        <v>10</v>
      </c>
      <c r="V483" s="174">
        <v>0</v>
      </c>
      <c r="W483" s="169">
        <f>4+6</f>
        <v>10</v>
      </c>
      <c r="X483" s="169">
        <f t="shared" si="93"/>
        <v>0</v>
      </c>
    </row>
    <row r="484" spans="1:24" ht="16.149999999999999" customHeight="1" x14ac:dyDescent="0.2">
      <c r="A484" s="173" t="s">
        <v>504</v>
      </c>
      <c r="B484" s="177" t="s">
        <v>505</v>
      </c>
      <c r="C484" s="171">
        <v>43596</v>
      </c>
      <c r="D484" s="165"/>
      <c r="E484" s="165"/>
      <c r="F484" s="165"/>
      <c r="G484" s="167">
        <f>501.51-3.35</f>
        <v>498.15999999999997</v>
      </c>
      <c r="H484" s="167">
        <v>0</v>
      </c>
      <c r="I484" s="167">
        <f t="shared" si="88"/>
        <v>498.15999999999997</v>
      </c>
      <c r="J484" s="167">
        <f>144.93+52.71+0+52.93+37.57+52.28+9.83+46.86+18.1+63.47+2.64+13.71+1.11</f>
        <v>496.14000000000004</v>
      </c>
      <c r="K484" s="167">
        <v>0</v>
      </c>
      <c r="L484" s="167">
        <f t="shared" si="89"/>
        <v>496.14000000000004</v>
      </c>
      <c r="M484" s="127">
        <f t="shared" si="90"/>
        <v>2.019999999999925</v>
      </c>
      <c r="N484" s="167">
        <f t="shared" si="91"/>
        <v>0</v>
      </c>
      <c r="O484" s="167">
        <f t="shared" si="92"/>
        <v>2.019999999999925</v>
      </c>
      <c r="P484" s="226" t="s">
        <v>203</v>
      </c>
      <c r="Q484" s="187"/>
      <c r="R484" s="128">
        <v>1</v>
      </c>
      <c r="S484" s="128">
        <v>1</v>
      </c>
      <c r="T484" s="174">
        <v>30</v>
      </c>
      <c r="U484" s="174">
        <v>30</v>
      </c>
      <c r="V484" s="174">
        <v>0</v>
      </c>
      <c r="W484" s="169">
        <v>30</v>
      </c>
      <c r="X484" s="169">
        <f t="shared" si="93"/>
        <v>0</v>
      </c>
    </row>
    <row r="485" spans="1:24" ht="16.149999999999999" customHeight="1" x14ac:dyDescent="0.2">
      <c r="A485" s="173" t="s">
        <v>506</v>
      </c>
      <c r="B485" s="177" t="s">
        <v>1042</v>
      </c>
      <c r="C485" s="171">
        <v>44049</v>
      </c>
      <c r="D485" s="165"/>
      <c r="E485" s="165"/>
      <c r="F485" s="165" t="s">
        <v>1344</v>
      </c>
      <c r="G485" s="167">
        <f>3312.94+7.30200904+8.025426</f>
        <v>3328.2674350400002</v>
      </c>
      <c r="H485" s="167">
        <v>0</v>
      </c>
      <c r="I485" s="167">
        <f t="shared" si="88"/>
        <v>3328.2674350400002</v>
      </c>
      <c r="J485" s="167">
        <f>306.15+55.13+131.29+245.81+290.96+270.7+3+141.59+221.01+100.22+103.49+174.93+61.71+194.3+186.79+118.55+145.28+54.22+74.62+100+39.08+30+7.31+86+33.09+7.3+23.64+0.85+9.14+4.57+9.61+8.47</f>
        <v>3238.81</v>
      </c>
      <c r="K485" s="167">
        <v>0</v>
      </c>
      <c r="L485" s="167">
        <f>J485+K485</f>
        <v>3238.81</v>
      </c>
      <c r="M485" s="127">
        <f t="shared" si="90"/>
        <v>89.457435040000291</v>
      </c>
      <c r="N485" s="167">
        <f t="shared" si="91"/>
        <v>0</v>
      </c>
      <c r="O485" s="167">
        <f t="shared" si="92"/>
        <v>89.457435040000291</v>
      </c>
      <c r="P485" s="167">
        <f>306.15+55.13+131.29+245.81+290.96+270.7+3+141.59+221.01+100.22+103.49+174.93+61.71+194.3+186.79+118.55+145.28+54.22+74.62+100+39.08+30+7.31+86+33.09+7.3+23.64+0.85+9.14+4.57-984.79+9.61+8.47-471.86</f>
        <v>1782.1599999999999</v>
      </c>
      <c r="Q485" s="168"/>
      <c r="R485" s="128">
        <v>0.95679999999999998</v>
      </c>
      <c r="S485" s="128">
        <v>1</v>
      </c>
      <c r="T485" s="169">
        <v>174</v>
      </c>
      <c r="U485" s="169">
        <v>174</v>
      </c>
      <c r="V485" s="169">
        <f>23+14</f>
        <v>37</v>
      </c>
      <c r="W485" s="169">
        <v>52</v>
      </c>
      <c r="X485" s="169">
        <f t="shared" si="93"/>
        <v>122</v>
      </c>
    </row>
    <row r="486" spans="1:24" ht="16.149999999999999" customHeight="1" x14ac:dyDescent="0.2">
      <c r="A486" s="173" t="s">
        <v>507</v>
      </c>
      <c r="B486" s="177" t="s">
        <v>573</v>
      </c>
      <c r="C486" s="171"/>
      <c r="D486" s="165"/>
      <c r="E486" s="165"/>
      <c r="F486" s="165"/>
      <c r="G486" s="167">
        <f>929.85+287.15</f>
        <v>1217</v>
      </c>
      <c r="H486" s="167">
        <v>0</v>
      </c>
      <c r="I486" s="167">
        <f t="shared" si="88"/>
        <v>1217</v>
      </c>
      <c r="J486" s="167">
        <f>906.48+262.82+24.33</f>
        <v>1193.6299999999999</v>
      </c>
      <c r="K486" s="167">
        <v>0</v>
      </c>
      <c r="L486" s="167">
        <f t="shared" si="89"/>
        <v>1193.6299999999999</v>
      </c>
      <c r="M486" s="127">
        <f t="shared" si="90"/>
        <v>23.370000000000118</v>
      </c>
      <c r="N486" s="167">
        <f t="shared" si="91"/>
        <v>0</v>
      </c>
      <c r="O486" s="167">
        <f t="shared" si="92"/>
        <v>23.370000000000118</v>
      </c>
      <c r="P486" s="167" t="s">
        <v>203</v>
      </c>
      <c r="Q486" s="187"/>
      <c r="R486" s="128">
        <v>1</v>
      </c>
      <c r="S486" s="128">
        <v>0</v>
      </c>
      <c r="T486" s="169">
        <f>79+24</f>
        <v>103</v>
      </c>
      <c r="U486" s="169">
        <f>79+24</f>
        <v>103</v>
      </c>
      <c r="V486" s="169">
        <v>0</v>
      </c>
      <c r="W486" s="169">
        <v>101</v>
      </c>
      <c r="X486" s="169">
        <f t="shared" si="93"/>
        <v>2</v>
      </c>
    </row>
    <row r="487" spans="1:24" ht="16.149999999999999" customHeight="1" x14ac:dyDescent="0.2">
      <c r="A487" s="186" t="s">
        <v>1043</v>
      </c>
      <c r="B487" s="177" t="s">
        <v>1044</v>
      </c>
      <c r="C487" s="171" t="s">
        <v>203</v>
      </c>
      <c r="D487" s="165" t="s">
        <v>203</v>
      </c>
      <c r="E487" s="165" t="s">
        <v>203</v>
      </c>
      <c r="F487" s="165" t="s">
        <v>203</v>
      </c>
      <c r="G487" s="167">
        <v>110.38</v>
      </c>
      <c r="H487" s="167">
        <v>0</v>
      </c>
      <c r="I487" s="167">
        <f t="shared" si="88"/>
        <v>110.38</v>
      </c>
      <c r="J487" s="167">
        <v>110.38</v>
      </c>
      <c r="K487" s="167">
        <v>0</v>
      </c>
      <c r="L487" s="167">
        <f t="shared" si="89"/>
        <v>110.38</v>
      </c>
      <c r="M487" s="127">
        <f t="shared" si="90"/>
        <v>0</v>
      </c>
      <c r="N487" s="167">
        <f t="shared" si="91"/>
        <v>0</v>
      </c>
      <c r="O487" s="167">
        <f t="shared" si="92"/>
        <v>0</v>
      </c>
      <c r="P487" s="178" t="s">
        <v>203</v>
      </c>
      <c r="Q487" s="168"/>
      <c r="R487" s="128">
        <v>1</v>
      </c>
      <c r="S487" s="128">
        <v>1</v>
      </c>
      <c r="T487" s="174">
        <v>7</v>
      </c>
      <c r="U487" s="174">
        <v>7</v>
      </c>
      <c r="V487" s="174">
        <v>0</v>
      </c>
      <c r="W487" s="174">
        <v>7</v>
      </c>
      <c r="X487" s="169">
        <f t="shared" si="93"/>
        <v>0</v>
      </c>
    </row>
    <row r="488" spans="1:24" ht="16.149999999999999" customHeight="1" x14ac:dyDescent="0.2">
      <c r="A488" s="173" t="s">
        <v>574</v>
      </c>
      <c r="B488" s="177">
        <v>43224</v>
      </c>
      <c r="C488" s="171">
        <v>43846</v>
      </c>
      <c r="D488" s="165"/>
      <c r="E488" s="165"/>
      <c r="F488" s="165" t="s">
        <v>1045</v>
      </c>
      <c r="G488" s="167">
        <f>2449410418.21/1000000-0.0004</f>
        <v>2449.4100182100001</v>
      </c>
      <c r="H488" s="167">
        <v>0</v>
      </c>
      <c r="I488" s="167">
        <f t="shared" si="88"/>
        <v>2449.4100182100001</v>
      </c>
      <c r="J488" s="167">
        <f>487.4+460+119.11+26.64+48.42+19.21+53.49+47.72+173.91+20.36+203+42.08+66.2+2.17+97.91+57.16+56.76+53.94+52.42+72.41+22.27+55.62+43.44+16.73+35.64+24.32+17.31+13.09+10.45+26.36+1.3+5.41+12.37+3.29+1.5</f>
        <v>2449.4100000000003</v>
      </c>
      <c r="K488" s="167">
        <v>0</v>
      </c>
      <c r="L488" s="167">
        <f t="shared" si="89"/>
        <v>2449.4100000000003</v>
      </c>
      <c r="M488" s="127">
        <f t="shared" si="90"/>
        <v>1.8209999780083308E-5</v>
      </c>
      <c r="N488" s="167">
        <f t="shared" si="91"/>
        <v>0</v>
      </c>
      <c r="O488" s="167">
        <f t="shared" si="92"/>
        <v>1.8209999780083308E-5</v>
      </c>
      <c r="P488" s="178" t="s">
        <v>203</v>
      </c>
      <c r="Q488" s="168"/>
      <c r="R488" s="128">
        <v>1</v>
      </c>
      <c r="S488" s="128">
        <v>1</v>
      </c>
      <c r="T488" s="169">
        <v>92</v>
      </c>
      <c r="U488" s="169">
        <v>92</v>
      </c>
      <c r="V488" s="169">
        <v>0</v>
      </c>
      <c r="W488" s="169">
        <v>92</v>
      </c>
      <c r="X488" s="169">
        <f t="shared" si="93"/>
        <v>0</v>
      </c>
    </row>
    <row r="489" spans="1:24" ht="16.149999999999999" customHeight="1" x14ac:dyDescent="0.2">
      <c r="A489" s="173" t="s">
        <v>575</v>
      </c>
      <c r="B489" s="177" t="s">
        <v>576</v>
      </c>
      <c r="C489" s="171"/>
      <c r="D489" s="165"/>
      <c r="E489" s="165"/>
      <c r="F489" s="165"/>
      <c r="G489" s="167">
        <f>754.61+11.69</f>
        <v>766.30000000000007</v>
      </c>
      <c r="H489" s="167">
        <v>0</v>
      </c>
      <c r="I489" s="167">
        <f t="shared" si="88"/>
        <v>766.30000000000007</v>
      </c>
      <c r="J489" s="167">
        <f>742.93+11.69</f>
        <v>754.62</v>
      </c>
      <c r="K489" s="167">
        <v>0</v>
      </c>
      <c r="L489" s="167">
        <f t="shared" si="89"/>
        <v>754.62</v>
      </c>
      <c r="M489" s="127">
        <f t="shared" si="90"/>
        <v>11.680000000000064</v>
      </c>
      <c r="N489" s="167">
        <f t="shared" si="91"/>
        <v>0</v>
      </c>
      <c r="O489" s="167">
        <f t="shared" si="92"/>
        <v>11.680000000000064</v>
      </c>
      <c r="P489" s="167" t="s">
        <v>203</v>
      </c>
      <c r="Q489" s="187"/>
      <c r="R489" s="128">
        <v>1</v>
      </c>
      <c r="S489" s="128">
        <v>0</v>
      </c>
      <c r="T489" s="169">
        <f>64+1</f>
        <v>65</v>
      </c>
      <c r="U489" s="169">
        <f>64+1</f>
        <v>65</v>
      </c>
      <c r="V489" s="169">
        <v>1</v>
      </c>
      <c r="W489" s="169">
        <v>64</v>
      </c>
      <c r="X489" s="169">
        <f t="shared" si="93"/>
        <v>1</v>
      </c>
    </row>
    <row r="490" spans="1:24" ht="16.149999999999999" customHeight="1" x14ac:dyDescent="0.2">
      <c r="A490" s="173" t="s">
        <v>577</v>
      </c>
      <c r="B490" s="177" t="s">
        <v>1046</v>
      </c>
      <c r="C490" s="171">
        <v>43904</v>
      </c>
      <c r="D490" s="165" t="s">
        <v>1047</v>
      </c>
      <c r="E490" s="165" t="s">
        <v>1048</v>
      </c>
      <c r="F490" s="165" t="s">
        <v>1049</v>
      </c>
      <c r="G490" s="167">
        <f>227.03+19.68+0.38+0.23223174</f>
        <v>247.32223174000001</v>
      </c>
      <c r="H490" s="167">
        <v>0</v>
      </c>
      <c r="I490" s="167">
        <f t="shared" si="88"/>
        <v>247.32223174000001</v>
      </c>
      <c r="J490" s="167">
        <f>33.99+31.82+47.53+33.09+43.01+31.78+2.11+2.92+11.64+1.65+0.94</f>
        <v>240.48</v>
      </c>
      <c r="K490" s="167">
        <v>0</v>
      </c>
      <c r="L490" s="167">
        <f t="shared" si="89"/>
        <v>240.48</v>
      </c>
      <c r="M490" s="127">
        <f t="shared" si="90"/>
        <v>6.8422317400000168</v>
      </c>
      <c r="N490" s="167">
        <f t="shared" si="91"/>
        <v>0</v>
      </c>
      <c r="O490" s="167">
        <f t="shared" si="92"/>
        <v>6.8422317400000168</v>
      </c>
      <c r="P490" s="167">
        <f>33.99+31.82+47.53+33.09+43.01+31.78+2.11-223.33+2.92+11.64+1.65+0.94</f>
        <v>17.150000000000002</v>
      </c>
      <c r="Q490" s="168"/>
      <c r="R490" s="128">
        <v>0.9556</v>
      </c>
      <c r="S490" s="128">
        <v>1</v>
      </c>
      <c r="T490" s="169">
        <v>19</v>
      </c>
      <c r="U490" s="169">
        <v>19</v>
      </c>
      <c r="V490" s="169">
        <v>0</v>
      </c>
      <c r="W490" s="169">
        <v>18</v>
      </c>
      <c r="X490" s="169">
        <f t="shared" si="93"/>
        <v>1</v>
      </c>
    </row>
    <row r="491" spans="1:24" ht="16.149999999999999" customHeight="1" x14ac:dyDescent="0.2">
      <c r="A491" s="173" t="s">
        <v>1050</v>
      </c>
      <c r="B491" s="177" t="s">
        <v>1051</v>
      </c>
      <c r="C491" s="171">
        <v>44225</v>
      </c>
      <c r="D491" s="165"/>
      <c r="E491" s="165"/>
      <c r="F491" s="165" t="s">
        <v>1345</v>
      </c>
      <c r="G491" s="167">
        <f>1697.12+1.34+0.06068654+0.129925+0.15426908</f>
        <v>1698.8048806199997</v>
      </c>
      <c r="H491" s="167">
        <v>0</v>
      </c>
      <c r="I491" s="167">
        <f t="shared" si="88"/>
        <v>1698.8048806199997</v>
      </c>
      <c r="J491" s="167">
        <f>613.16+93.58+48.59+13.69+20.39+40.66+0.13+10.19+23.54+80.67+10.23+61.03+32.32+53.95+43.58+12.26+38.51+14.18+29.94+39.72+25.98+36.95+43.01+35.03+21.92+11.71+46.49</f>
        <v>1501.4100000000003</v>
      </c>
      <c r="K491" s="167">
        <v>0</v>
      </c>
      <c r="L491" s="167">
        <f t="shared" si="89"/>
        <v>1501.4100000000003</v>
      </c>
      <c r="M491" s="127">
        <f t="shared" si="90"/>
        <v>197.39488061999941</v>
      </c>
      <c r="N491" s="167">
        <f t="shared" si="91"/>
        <v>0</v>
      </c>
      <c r="O491" s="167">
        <f t="shared" si="92"/>
        <v>197.39488061999941</v>
      </c>
      <c r="P491" s="178" t="s">
        <v>203</v>
      </c>
      <c r="Q491" s="168"/>
      <c r="R491" s="128">
        <v>1</v>
      </c>
      <c r="S491" s="128">
        <v>0.82210000000000005</v>
      </c>
      <c r="T491" s="169">
        <v>71</v>
      </c>
      <c r="U491" s="169">
        <v>71</v>
      </c>
      <c r="V491" s="169">
        <v>1</v>
      </c>
      <c r="W491" s="169">
        <v>70</v>
      </c>
      <c r="X491" s="169">
        <f t="shared" si="93"/>
        <v>1</v>
      </c>
    </row>
    <row r="492" spans="1:24" ht="16.149999999999999" customHeight="1" x14ac:dyDescent="0.2">
      <c r="A492" s="173" t="s">
        <v>1052</v>
      </c>
      <c r="B492" s="177">
        <v>43626</v>
      </c>
      <c r="C492" s="171">
        <v>44349</v>
      </c>
      <c r="D492" s="165"/>
      <c r="E492" s="165"/>
      <c r="F492" s="165"/>
      <c r="G492" s="167">
        <f>1567.09+1.7342088075+0.23021456+0.13539396+0.03140523</f>
        <v>1569.2212225574999</v>
      </c>
      <c r="H492" s="167">
        <v>0</v>
      </c>
      <c r="I492" s="167">
        <f t="shared" si="88"/>
        <v>1569.2212225574999</v>
      </c>
      <c r="J492" s="167">
        <f>576.92+77.71+19.92+184.79+49.97+22.02+22.38+10.95+4.24+5.21+36.68+54.88+33.15+10.1+38.63+17.93+12.88+0.41</f>
        <v>1178.7700000000004</v>
      </c>
      <c r="K492" s="167">
        <v>0</v>
      </c>
      <c r="L492" s="167">
        <f t="shared" si="89"/>
        <v>1178.7700000000004</v>
      </c>
      <c r="M492" s="127">
        <f t="shared" si="90"/>
        <v>390.45122255749948</v>
      </c>
      <c r="N492" s="167">
        <f t="shared" si="91"/>
        <v>0</v>
      </c>
      <c r="O492" s="167">
        <f t="shared" si="92"/>
        <v>390.45122255749948</v>
      </c>
      <c r="P492" s="178" t="s">
        <v>203</v>
      </c>
      <c r="Q492" s="168"/>
      <c r="R492" s="128">
        <v>1</v>
      </c>
      <c r="S492" s="128">
        <v>0.53320000000000001</v>
      </c>
      <c r="T492" s="169">
        <v>64</v>
      </c>
      <c r="U492" s="169">
        <v>64</v>
      </c>
      <c r="V492" s="169">
        <v>0</v>
      </c>
      <c r="W492" s="169">
        <v>64</v>
      </c>
      <c r="X492" s="169">
        <f t="shared" si="93"/>
        <v>0</v>
      </c>
    </row>
    <row r="493" spans="1:24" ht="16.149999999999999" customHeight="1" x14ac:dyDescent="0.2">
      <c r="A493" s="186" t="s">
        <v>1053</v>
      </c>
      <c r="B493" s="177" t="s">
        <v>1054</v>
      </c>
      <c r="C493" s="171" t="s">
        <v>203</v>
      </c>
      <c r="D493" s="165" t="s">
        <v>203</v>
      </c>
      <c r="E493" s="165" t="s">
        <v>203</v>
      </c>
      <c r="F493" s="165" t="s">
        <v>203</v>
      </c>
      <c r="G493" s="167">
        <f>469.47+0.8129205825+0.61+0.1739700225</f>
        <v>471.06689060500003</v>
      </c>
      <c r="H493" s="167">
        <v>0</v>
      </c>
      <c r="I493" s="167">
        <f t="shared" si="88"/>
        <v>471.06689060500003</v>
      </c>
      <c r="J493" s="167">
        <f>411.98+30.68+14.14+14.23</f>
        <v>471.03000000000003</v>
      </c>
      <c r="K493" s="167">
        <v>0</v>
      </c>
      <c r="L493" s="167">
        <f t="shared" si="89"/>
        <v>471.03000000000003</v>
      </c>
      <c r="M493" s="127">
        <f t="shared" si="90"/>
        <v>3.6890604999996413E-2</v>
      </c>
      <c r="N493" s="167">
        <f t="shared" si="91"/>
        <v>0</v>
      </c>
      <c r="O493" s="167">
        <f t="shared" si="92"/>
        <v>3.6890604999996413E-2</v>
      </c>
      <c r="P493" s="178" t="s">
        <v>203</v>
      </c>
      <c r="Q493" s="168"/>
      <c r="R493" s="128">
        <v>1</v>
      </c>
      <c r="S493" s="128">
        <v>1</v>
      </c>
      <c r="T493" s="174">
        <v>32</v>
      </c>
      <c r="U493" s="174">
        <v>32</v>
      </c>
      <c r="V493" s="174">
        <v>0</v>
      </c>
      <c r="W493" s="174">
        <v>32</v>
      </c>
      <c r="X493" s="169">
        <f t="shared" si="93"/>
        <v>0</v>
      </c>
    </row>
    <row r="494" spans="1:24" ht="16.149999999999999" customHeight="1" x14ac:dyDescent="0.2">
      <c r="A494" s="173" t="s">
        <v>1055</v>
      </c>
      <c r="B494" s="177" t="s">
        <v>1056</v>
      </c>
      <c r="C494" s="171">
        <v>44639</v>
      </c>
      <c r="D494" s="165"/>
      <c r="E494" s="165"/>
      <c r="F494" s="165"/>
      <c r="G494" s="167">
        <f>4568.82597113+155.76532498-738.3456+738.3456+0.08739188</f>
        <v>4724.6786879899992</v>
      </c>
      <c r="H494" s="167">
        <v>0</v>
      </c>
      <c r="I494" s="167">
        <f t="shared" si="88"/>
        <v>4724.6786879899992</v>
      </c>
      <c r="J494" s="167">
        <f>1144.37+215.48+52.95+47.71+123.38+85.05+34.26+154.8+13.04+64.9+20.25+9.69+40.38+53.59+30.39+37.82+7.88</f>
        <v>2135.94</v>
      </c>
      <c r="K494" s="167">
        <v>0</v>
      </c>
      <c r="L494" s="167">
        <f t="shared" si="89"/>
        <v>2135.94</v>
      </c>
      <c r="M494" s="127">
        <f t="shared" si="90"/>
        <v>2588.7386879899991</v>
      </c>
      <c r="N494" s="167">
        <f t="shared" si="91"/>
        <v>0</v>
      </c>
      <c r="O494" s="167">
        <f t="shared" si="92"/>
        <v>2588.7386879899991</v>
      </c>
      <c r="P494" s="178" t="s">
        <v>203</v>
      </c>
      <c r="Q494" s="168"/>
      <c r="R494" s="128">
        <v>1</v>
      </c>
      <c r="S494" s="128">
        <v>0.05</v>
      </c>
      <c r="T494" s="169">
        <v>191</v>
      </c>
      <c r="U494" s="169">
        <v>191</v>
      </c>
      <c r="V494" s="169">
        <v>0</v>
      </c>
      <c r="W494" s="169">
        <v>189</v>
      </c>
      <c r="X494" s="169">
        <f t="shared" si="93"/>
        <v>2</v>
      </c>
    </row>
    <row r="495" spans="1:24" ht="16.149999999999999" customHeight="1" x14ac:dyDescent="0.2">
      <c r="A495" s="173" t="s">
        <v>1057</v>
      </c>
      <c r="B495" s="179" t="s">
        <v>1058</v>
      </c>
      <c r="C495" s="169" t="s">
        <v>203</v>
      </c>
      <c r="D495" s="165" t="s">
        <v>203</v>
      </c>
      <c r="E495" s="165" t="s">
        <v>203</v>
      </c>
      <c r="F495" s="165" t="s">
        <v>203</v>
      </c>
      <c r="G495" s="167">
        <v>510.95</v>
      </c>
      <c r="H495" s="167">
        <v>0</v>
      </c>
      <c r="I495" s="167">
        <f t="shared" si="88"/>
        <v>510.95</v>
      </c>
      <c r="J495" s="167">
        <f>452.65+14.05+14.05</f>
        <v>480.75</v>
      </c>
      <c r="K495" s="167">
        <v>0</v>
      </c>
      <c r="L495" s="167">
        <f t="shared" si="89"/>
        <v>480.75</v>
      </c>
      <c r="M495" s="127">
        <f t="shared" si="90"/>
        <v>30.199999999999989</v>
      </c>
      <c r="N495" s="167">
        <f t="shared" si="91"/>
        <v>0</v>
      </c>
      <c r="O495" s="167">
        <f t="shared" si="92"/>
        <v>30.199999999999989</v>
      </c>
      <c r="P495" s="178" t="s">
        <v>203</v>
      </c>
      <c r="Q495" s="187"/>
      <c r="R495" s="128">
        <v>1</v>
      </c>
      <c r="S495" s="128">
        <v>0</v>
      </c>
      <c r="T495" s="169">
        <v>36</v>
      </c>
      <c r="U495" s="169">
        <v>36</v>
      </c>
      <c r="V495" s="169">
        <v>36</v>
      </c>
      <c r="W495" s="169">
        <v>34</v>
      </c>
      <c r="X495" s="169">
        <f t="shared" si="93"/>
        <v>2</v>
      </c>
    </row>
    <row r="496" spans="1:24" ht="16.149999999999999" customHeight="1" x14ac:dyDescent="0.2">
      <c r="A496" s="173" t="s">
        <v>1059</v>
      </c>
      <c r="B496" s="177">
        <v>43906</v>
      </c>
      <c r="C496" s="171">
        <v>44563</v>
      </c>
      <c r="D496" s="165"/>
      <c r="E496" s="165"/>
      <c r="F496" s="165"/>
      <c r="G496" s="167">
        <v>612.23</v>
      </c>
      <c r="H496" s="167">
        <v>0</v>
      </c>
      <c r="I496" s="167">
        <f t="shared" si="88"/>
        <v>612.23</v>
      </c>
      <c r="J496" s="167">
        <f>46.57+41.11+40.51+51.79+39.82+86.91+101.84+50.13+48.37+2.58+24</f>
        <v>533.62999999999988</v>
      </c>
      <c r="K496" s="167">
        <v>0</v>
      </c>
      <c r="L496" s="167">
        <f t="shared" si="89"/>
        <v>533.62999999999988</v>
      </c>
      <c r="M496" s="127">
        <f t="shared" si="90"/>
        <v>78.600000000000136</v>
      </c>
      <c r="N496" s="167">
        <f t="shared" si="91"/>
        <v>0</v>
      </c>
      <c r="O496" s="167">
        <f t="shared" si="92"/>
        <v>78.600000000000136</v>
      </c>
      <c r="P496" s="167">
        <f>46.57+41.11+40.51+51.79+39.82+86.91+101.84+50.13+48.37+2.57+24</f>
        <v>533.61999999999989</v>
      </c>
      <c r="Q496" s="168"/>
      <c r="R496" s="128">
        <v>0.62529999999999997</v>
      </c>
      <c r="S496" s="128">
        <v>0.93230000000000002</v>
      </c>
      <c r="T496" s="169">
        <v>25</v>
      </c>
      <c r="U496" s="169">
        <v>25</v>
      </c>
      <c r="V496" s="169">
        <v>0</v>
      </c>
      <c r="W496" s="169">
        <v>0</v>
      </c>
      <c r="X496" s="169">
        <f t="shared" si="93"/>
        <v>25</v>
      </c>
    </row>
    <row r="497" spans="1:24" ht="16.149999999999999" customHeight="1" x14ac:dyDescent="0.2">
      <c r="A497" s="173" t="s">
        <v>1060</v>
      </c>
      <c r="B497" s="177" t="s">
        <v>1346</v>
      </c>
      <c r="C497" s="171">
        <v>44453</v>
      </c>
      <c r="D497" s="165"/>
      <c r="E497" s="165"/>
      <c r="F497" s="165"/>
      <c r="G497" s="167">
        <f>1011.18038878+1.33414048</f>
        <v>1012.51452926</v>
      </c>
      <c r="H497" s="167">
        <v>0</v>
      </c>
      <c r="I497" s="167">
        <f t="shared" si="88"/>
        <v>1012.51452926</v>
      </c>
      <c r="J497" s="167">
        <f>148.98+90.29+29.27+33.24+63.69+85.12+39.4+58.2+24.84+24.96+24.98+45.35+49.77+30.31+61.5+40.93+16.58+11.21+2+9.33+1.27+9.7</f>
        <v>900.92000000000007</v>
      </c>
      <c r="K497" s="167">
        <v>0</v>
      </c>
      <c r="L497" s="167">
        <f t="shared" si="89"/>
        <v>900.92000000000007</v>
      </c>
      <c r="M497" s="127">
        <f t="shared" si="90"/>
        <v>111.59452925999994</v>
      </c>
      <c r="N497" s="167">
        <f t="shared" si="91"/>
        <v>0</v>
      </c>
      <c r="O497" s="167">
        <f t="shared" si="92"/>
        <v>111.59452925999994</v>
      </c>
      <c r="P497" s="167">
        <f>148.98+90.29+29.27+33.24+63.69+85.12+39.4+58.2+24.84+24.96+24.98+45.35+49.77+30.31+61.5+40.93+16.58+11.21+2+9.33+1.27+9.7</f>
        <v>900.92000000000007</v>
      </c>
      <c r="Q497" s="168"/>
      <c r="R497" s="128">
        <v>0.69520000000000004</v>
      </c>
      <c r="S497" s="128">
        <v>0.64910000000000001</v>
      </c>
      <c r="T497" s="169">
        <v>39</v>
      </c>
      <c r="U497" s="169">
        <v>25</v>
      </c>
      <c r="V497" s="169">
        <v>0</v>
      </c>
      <c r="W497" s="169">
        <v>0</v>
      </c>
      <c r="X497" s="169">
        <f t="shared" si="93"/>
        <v>39</v>
      </c>
    </row>
    <row r="498" spans="1:24" ht="16.149999999999999" customHeight="1" x14ac:dyDescent="0.2">
      <c r="A498" s="173" t="s">
        <v>1347</v>
      </c>
      <c r="B498" s="177" t="s">
        <v>1348</v>
      </c>
      <c r="C498" s="171">
        <v>44872</v>
      </c>
      <c r="D498" s="165"/>
      <c r="E498" s="165"/>
      <c r="F498" s="165"/>
      <c r="G498" s="167">
        <v>2639.7142960400001</v>
      </c>
      <c r="H498" s="167">
        <v>0</v>
      </c>
      <c r="I498" s="167">
        <f t="shared" si="88"/>
        <v>2639.7142960400001</v>
      </c>
      <c r="J498" s="167">
        <f>61.48+100</f>
        <v>161.47999999999999</v>
      </c>
      <c r="K498" s="167">
        <v>0</v>
      </c>
      <c r="L498" s="167">
        <f t="shared" si="89"/>
        <v>161.47999999999999</v>
      </c>
      <c r="M498" s="127">
        <f t="shared" si="90"/>
        <v>2478.2342960400001</v>
      </c>
      <c r="N498" s="167">
        <f t="shared" si="91"/>
        <v>0</v>
      </c>
      <c r="O498" s="167">
        <f t="shared" si="92"/>
        <v>2478.2342960400001</v>
      </c>
      <c r="P498" s="167">
        <f>61.48+100</f>
        <v>161.47999999999999</v>
      </c>
      <c r="Q498" s="168"/>
      <c r="R498" s="128">
        <v>2.5999999999999999E-3</v>
      </c>
      <c r="S498" s="128">
        <v>0</v>
      </c>
      <c r="T498" s="169">
        <v>84</v>
      </c>
      <c r="U498" s="169">
        <v>84</v>
      </c>
      <c r="V498" s="169">
        <v>0</v>
      </c>
      <c r="W498" s="169">
        <v>0</v>
      </c>
      <c r="X498" s="169">
        <f t="shared" si="93"/>
        <v>84</v>
      </c>
    </row>
    <row r="499" spans="1:24" ht="16.149999999999999" customHeight="1" x14ac:dyDescent="0.2">
      <c r="A499" s="182" t="s">
        <v>1349</v>
      </c>
      <c r="B499" s="177" t="s">
        <v>1350</v>
      </c>
      <c r="C499" s="171"/>
      <c r="D499" s="165"/>
      <c r="E499" s="165"/>
      <c r="F499" s="165"/>
      <c r="G499" s="167">
        <v>81.515462400000004</v>
      </c>
      <c r="H499" s="167">
        <v>0</v>
      </c>
      <c r="I499" s="167">
        <f t="shared" si="88"/>
        <v>81.515462400000004</v>
      </c>
      <c r="J499" s="167">
        <v>0</v>
      </c>
      <c r="K499" s="167">
        <v>0</v>
      </c>
      <c r="L499" s="167">
        <f t="shared" si="89"/>
        <v>0</v>
      </c>
      <c r="M499" s="127">
        <f t="shared" si="90"/>
        <v>81.515462400000004</v>
      </c>
      <c r="N499" s="167">
        <f t="shared" si="91"/>
        <v>0</v>
      </c>
      <c r="O499" s="167">
        <f t="shared" si="92"/>
        <v>81.515462400000004</v>
      </c>
      <c r="P499" s="178">
        <v>0</v>
      </c>
      <c r="Q499" s="168"/>
      <c r="R499" s="128">
        <v>0</v>
      </c>
      <c r="S499" s="128">
        <v>0</v>
      </c>
      <c r="T499" s="169">
        <v>3</v>
      </c>
      <c r="U499" s="169">
        <v>3</v>
      </c>
      <c r="V499" s="169">
        <v>0</v>
      </c>
      <c r="W499" s="169">
        <v>0</v>
      </c>
      <c r="X499" s="169">
        <f>T499-W499</f>
        <v>3</v>
      </c>
    </row>
    <row r="500" spans="1:24" ht="16.149999999999999" customHeight="1" x14ac:dyDescent="0.2">
      <c r="A500" s="173" t="s">
        <v>1351</v>
      </c>
      <c r="B500" s="177" t="s">
        <v>1352</v>
      </c>
      <c r="C500" s="169" t="s">
        <v>203</v>
      </c>
      <c r="D500" s="165" t="s">
        <v>203</v>
      </c>
      <c r="E500" s="165" t="s">
        <v>203</v>
      </c>
      <c r="F500" s="165" t="s">
        <v>203</v>
      </c>
      <c r="G500" s="167">
        <v>450.15628702999999</v>
      </c>
      <c r="H500" s="167">
        <v>0</v>
      </c>
      <c r="I500" s="167">
        <f t="shared" si="88"/>
        <v>450.15628702999999</v>
      </c>
      <c r="J500" s="167">
        <v>0</v>
      </c>
      <c r="K500" s="167">
        <v>0</v>
      </c>
      <c r="L500" s="167">
        <f t="shared" si="89"/>
        <v>0</v>
      </c>
      <c r="M500" s="127">
        <f t="shared" si="90"/>
        <v>450.15628702999999</v>
      </c>
      <c r="N500" s="167">
        <f t="shared" si="91"/>
        <v>0</v>
      </c>
      <c r="O500" s="167">
        <f t="shared" si="92"/>
        <v>450.15628702999999</v>
      </c>
      <c r="P500" s="178" t="s">
        <v>203</v>
      </c>
      <c r="Q500" s="187"/>
      <c r="R500" s="128">
        <v>1</v>
      </c>
      <c r="S500" s="128">
        <v>0</v>
      </c>
      <c r="T500" s="169">
        <v>34</v>
      </c>
      <c r="U500" s="169">
        <v>34</v>
      </c>
      <c r="V500" s="169">
        <v>0</v>
      </c>
      <c r="W500" s="169">
        <v>0</v>
      </c>
      <c r="X500" s="169">
        <f>T500-W500</f>
        <v>34</v>
      </c>
    </row>
    <row r="501" spans="1:24" ht="16.149999999999999" customHeight="1" x14ac:dyDescent="0.2">
      <c r="A501" s="186" t="s">
        <v>1353</v>
      </c>
      <c r="B501" s="177">
        <v>44188</v>
      </c>
      <c r="C501" s="171" t="s">
        <v>203</v>
      </c>
      <c r="D501" s="165" t="s">
        <v>203</v>
      </c>
      <c r="E501" s="165" t="s">
        <v>203</v>
      </c>
      <c r="F501" s="165" t="s">
        <v>203</v>
      </c>
      <c r="G501" s="167">
        <f>523.72</f>
        <v>523.72</v>
      </c>
      <c r="H501" s="167">
        <v>0</v>
      </c>
      <c r="I501" s="167">
        <f t="shared" si="88"/>
        <v>523.72</v>
      </c>
      <c r="J501" s="167">
        <v>523.72</v>
      </c>
      <c r="K501" s="167">
        <v>0</v>
      </c>
      <c r="L501" s="167">
        <f t="shared" si="89"/>
        <v>523.72</v>
      </c>
      <c r="M501" s="127">
        <f t="shared" si="90"/>
        <v>0</v>
      </c>
      <c r="N501" s="167">
        <f t="shared" si="91"/>
        <v>0</v>
      </c>
      <c r="O501" s="167">
        <f t="shared" si="92"/>
        <v>0</v>
      </c>
      <c r="P501" s="178" t="s">
        <v>203</v>
      </c>
      <c r="Q501" s="168"/>
      <c r="R501" s="128">
        <v>1</v>
      </c>
      <c r="S501" s="128">
        <v>1</v>
      </c>
      <c r="T501" s="174">
        <v>29</v>
      </c>
      <c r="U501" s="174">
        <v>29</v>
      </c>
      <c r="V501" s="174">
        <v>0</v>
      </c>
      <c r="W501" s="174">
        <v>29</v>
      </c>
      <c r="X501" s="169">
        <f>T501-W501</f>
        <v>0</v>
      </c>
    </row>
    <row r="502" spans="1:24" ht="16.149999999999999" customHeight="1" x14ac:dyDescent="0.2">
      <c r="A502" s="189" t="s">
        <v>37</v>
      </c>
      <c r="B502" s="189"/>
      <c r="C502" s="189"/>
      <c r="D502" s="189"/>
      <c r="E502" s="189"/>
      <c r="F502" s="189"/>
      <c r="G502" s="190">
        <f t="shared" ref="G502:P502" si="94">SUM(G456:G501)</f>
        <v>35514.373341492494</v>
      </c>
      <c r="H502" s="190">
        <f t="shared" si="94"/>
        <v>0</v>
      </c>
      <c r="I502" s="190">
        <f t="shared" si="94"/>
        <v>35514.373341492494</v>
      </c>
      <c r="J502" s="190">
        <f t="shared" si="94"/>
        <v>28767.401358480001</v>
      </c>
      <c r="K502" s="190">
        <f t="shared" si="94"/>
        <v>0</v>
      </c>
      <c r="L502" s="190">
        <f t="shared" si="94"/>
        <v>28767.401358480001</v>
      </c>
      <c r="M502" s="190">
        <f t="shared" si="94"/>
        <v>6746.9719830124977</v>
      </c>
      <c r="N502" s="190">
        <f t="shared" si="94"/>
        <v>0</v>
      </c>
      <c r="O502" s="190">
        <f t="shared" si="94"/>
        <v>6746.9719830124977</v>
      </c>
      <c r="P502" s="190">
        <f t="shared" si="94"/>
        <v>3395.33</v>
      </c>
      <c r="Q502" s="187"/>
      <c r="R502" s="128"/>
      <c r="S502" s="128"/>
      <c r="T502" s="224">
        <f>SUM(T456:T501)</f>
        <v>2107</v>
      </c>
      <c r="U502" s="224">
        <f>SUM(U456:U501)</f>
        <v>2093</v>
      </c>
      <c r="V502" s="224">
        <f>SUM(V456:V501)</f>
        <v>232</v>
      </c>
      <c r="W502" s="224">
        <f>SUM(W456:W501)</f>
        <v>1784</v>
      </c>
      <c r="X502" s="224">
        <f>SUM(X456:X501)</f>
        <v>323</v>
      </c>
    </row>
    <row r="503" spans="1:24" ht="16.149999999999999" customHeight="1" x14ac:dyDescent="0.2">
      <c r="A503" s="220"/>
      <c r="B503" s="221"/>
      <c r="C503" s="221"/>
      <c r="D503" s="221"/>
      <c r="E503" s="221"/>
      <c r="F503" s="221"/>
      <c r="G503" s="221"/>
      <c r="H503" s="221"/>
      <c r="I503" s="221"/>
      <c r="J503" s="221"/>
      <c r="K503" s="221"/>
      <c r="L503" s="146"/>
      <c r="M503" s="126"/>
      <c r="N503" s="146"/>
      <c r="O503" s="146"/>
      <c r="P503" s="146"/>
      <c r="Q503" s="187"/>
      <c r="R503" s="223"/>
      <c r="S503" s="223"/>
      <c r="T503" s="219"/>
      <c r="U503" s="219"/>
      <c r="V503" s="219"/>
      <c r="W503" s="219"/>
      <c r="X503" s="219"/>
    </row>
    <row r="504" spans="1:24" ht="16.149999999999999" customHeight="1" x14ac:dyDescent="0.2">
      <c r="A504" s="220" t="s">
        <v>38</v>
      </c>
      <c r="B504" s="221"/>
      <c r="C504" s="221"/>
      <c r="D504" s="221"/>
      <c r="E504" s="221"/>
      <c r="F504" s="221"/>
      <c r="G504" s="221"/>
      <c r="H504" s="221"/>
      <c r="I504" s="221"/>
      <c r="J504" s="221"/>
      <c r="K504" s="221"/>
      <c r="L504" s="146"/>
      <c r="M504" s="126"/>
      <c r="N504" s="146"/>
      <c r="O504" s="146"/>
      <c r="P504" s="146"/>
      <c r="Q504" s="187"/>
      <c r="R504" s="223"/>
      <c r="S504" s="223"/>
      <c r="T504" s="219"/>
      <c r="U504" s="219"/>
      <c r="V504" s="219"/>
      <c r="W504" s="219"/>
      <c r="X504" s="219"/>
    </row>
    <row r="505" spans="1:24" ht="16.149999999999999" customHeight="1" x14ac:dyDescent="0.2">
      <c r="A505" s="173" t="s">
        <v>1061</v>
      </c>
      <c r="B505" s="171" t="s">
        <v>1062</v>
      </c>
      <c r="C505" s="171" t="s">
        <v>203</v>
      </c>
      <c r="D505" s="165"/>
      <c r="E505" s="165"/>
      <c r="F505" s="165" t="s">
        <v>203</v>
      </c>
      <c r="G505" s="167">
        <f>353.3795+42.1063109</f>
        <v>395.48581089999999</v>
      </c>
      <c r="H505" s="167">
        <v>0</v>
      </c>
      <c r="I505" s="167">
        <f t="shared" ref="I505:I541" si="95">G505+H505</f>
        <v>395.48581089999999</v>
      </c>
      <c r="J505" s="167">
        <v>395.07961399999999</v>
      </c>
      <c r="K505" s="167">
        <v>0</v>
      </c>
      <c r="L505" s="167">
        <f t="shared" ref="L505:L541" si="96">J505+K505</f>
        <v>395.07961399999999</v>
      </c>
      <c r="M505" s="127">
        <f t="shared" ref="M505:M541" si="97">G505-J505</f>
        <v>0.40619689999999764</v>
      </c>
      <c r="N505" s="167">
        <f t="shared" ref="N505:N541" si="98">H505-K505</f>
        <v>0</v>
      </c>
      <c r="O505" s="167">
        <f t="shared" ref="O505:O541" si="99">M505+N505</f>
        <v>0.40619689999999764</v>
      </c>
      <c r="P505" s="226" t="s">
        <v>203</v>
      </c>
      <c r="Q505" s="187"/>
      <c r="R505" s="128">
        <v>1</v>
      </c>
      <c r="S505" s="128">
        <v>1</v>
      </c>
      <c r="T505" s="174">
        <v>74</v>
      </c>
      <c r="U505" s="174">
        <v>74</v>
      </c>
      <c r="V505" s="174">
        <v>0</v>
      </c>
      <c r="W505" s="169">
        <v>74</v>
      </c>
      <c r="X505" s="169">
        <f t="shared" ref="X505:X541" si="100">T505-W505</f>
        <v>0</v>
      </c>
    </row>
    <row r="506" spans="1:24" ht="16.149999999999999" customHeight="1" x14ac:dyDescent="0.2">
      <c r="A506" s="173" t="s">
        <v>1063</v>
      </c>
      <c r="B506" s="171">
        <v>39358</v>
      </c>
      <c r="C506" s="171" t="s">
        <v>203</v>
      </c>
      <c r="D506" s="165"/>
      <c r="E506" s="165"/>
      <c r="F506" s="165" t="s">
        <v>203</v>
      </c>
      <c r="G506" s="167">
        <f>88.33+6.79+6.79</f>
        <v>101.91000000000001</v>
      </c>
      <c r="H506" s="167">
        <v>0</v>
      </c>
      <c r="I506" s="167">
        <f t="shared" si="95"/>
        <v>101.91000000000001</v>
      </c>
      <c r="J506" s="167">
        <v>101.91</v>
      </c>
      <c r="K506" s="167">
        <v>0</v>
      </c>
      <c r="L506" s="167">
        <f t="shared" si="96"/>
        <v>101.91</v>
      </c>
      <c r="M506" s="127">
        <f t="shared" si="97"/>
        <v>0</v>
      </c>
      <c r="N506" s="167">
        <f t="shared" si="98"/>
        <v>0</v>
      </c>
      <c r="O506" s="167">
        <f t="shared" si="99"/>
        <v>0</v>
      </c>
      <c r="P506" s="226" t="s">
        <v>203</v>
      </c>
      <c r="Q506" s="187"/>
      <c r="R506" s="128">
        <v>1</v>
      </c>
      <c r="S506" s="128">
        <v>1</v>
      </c>
      <c r="T506" s="174">
        <v>15</v>
      </c>
      <c r="U506" s="174">
        <v>15</v>
      </c>
      <c r="V506" s="174">
        <v>0</v>
      </c>
      <c r="W506" s="169">
        <v>15</v>
      </c>
      <c r="X506" s="169">
        <f t="shared" si="100"/>
        <v>0</v>
      </c>
    </row>
    <row r="507" spans="1:24" ht="16.149999999999999" customHeight="1" x14ac:dyDescent="0.2">
      <c r="A507" s="173" t="s">
        <v>1064</v>
      </c>
      <c r="B507" s="171" t="s">
        <v>1065</v>
      </c>
      <c r="C507" s="171" t="s">
        <v>203</v>
      </c>
      <c r="D507" s="165"/>
      <c r="E507" s="165"/>
      <c r="F507" s="165" t="s">
        <v>203</v>
      </c>
      <c r="G507" s="167">
        <f>116.86+29.21-7.35</f>
        <v>138.72</v>
      </c>
      <c r="H507" s="167">
        <v>0</v>
      </c>
      <c r="I507" s="167">
        <f t="shared" si="95"/>
        <v>138.72</v>
      </c>
      <c r="J507" s="167">
        <v>138.72</v>
      </c>
      <c r="K507" s="167">
        <v>0</v>
      </c>
      <c r="L507" s="167">
        <f t="shared" si="96"/>
        <v>138.72</v>
      </c>
      <c r="M507" s="127">
        <f t="shared" si="97"/>
        <v>0</v>
      </c>
      <c r="N507" s="167">
        <f t="shared" si="98"/>
        <v>0</v>
      </c>
      <c r="O507" s="167">
        <f t="shared" si="99"/>
        <v>0</v>
      </c>
      <c r="P507" s="226" t="s">
        <v>203</v>
      </c>
      <c r="Q507" s="187"/>
      <c r="R507" s="128">
        <v>1</v>
      </c>
      <c r="S507" s="128">
        <v>1</v>
      </c>
      <c r="T507" s="174">
        <f>16+4</f>
        <v>20</v>
      </c>
      <c r="U507" s="174">
        <f>16+4</f>
        <v>20</v>
      </c>
      <c r="V507" s="174">
        <v>0</v>
      </c>
      <c r="W507" s="169">
        <v>19</v>
      </c>
      <c r="X507" s="169">
        <f t="shared" si="100"/>
        <v>1</v>
      </c>
    </row>
    <row r="508" spans="1:24" ht="16.149999999999999" customHeight="1" x14ac:dyDescent="0.2">
      <c r="A508" s="173" t="s">
        <v>1066</v>
      </c>
      <c r="B508" s="171" t="s">
        <v>1067</v>
      </c>
      <c r="C508" s="171" t="s">
        <v>203</v>
      </c>
      <c r="D508" s="165"/>
      <c r="E508" s="165"/>
      <c r="F508" s="165" t="s">
        <v>203</v>
      </c>
      <c r="G508" s="167">
        <f>36.08+20.42</f>
        <v>56.5</v>
      </c>
      <c r="H508" s="167">
        <v>0</v>
      </c>
      <c r="I508" s="167">
        <f t="shared" si="95"/>
        <v>56.5</v>
      </c>
      <c r="J508" s="167">
        <v>56.5</v>
      </c>
      <c r="K508" s="167">
        <v>0</v>
      </c>
      <c r="L508" s="167">
        <f t="shared" si="96"/>
        <v>56.5</v>
      </c>
      <c r="M508" s="127">
        <f t="shared" si="97"/>
        <v>0</v>
      </c>
      <c r="N508" s="167">
        <f t="shared" si="98"/>
        <v>0</v>
      </c>
      <c r="O508" s="167">
        <f t="shared" si="99"/>
        <v>0</v>
      </c>
      <c r="P508" s="226" t="s">
        <v>203</v>
      </c>
      <c r="Q508" s="187"/>
      <c r="R508" s="128">
        <v>1</v>
      </c>
      <c r="S508" s="128">
        <v>1</v>
      </c>
      <c r="T508" s="174">
        <v>6</v>
      </c>
      <c r="U508" s="174">
        <v>6</v>
      </c>
      <c r="V508" s="174">
        <v>0</v>
      </c>
      <c r="W508" s="169">
        <v>6</v>
      </c>
      <c r="X508" s="169">
        <f t="shared" si="100"/>
        <v>0</v>
      </c>
    </row>
    <row r="509" spans="1:24" ht="16.149999999999999" customHeight="1" x14ac:dyDescent="0.2">
      <c r="A509" s="173" t="s">
        <v>1004</v>
      </c>
      <c r="B509" s="171">
        <v>39685</v>
      </c>
      <c r="C509" s="171" t="s">
        <v>203</v>
      </c>
      <c r="D509" s="165" t="s">
        <v>203</v>
      </c>
      <c r="E509" s="165" t="s">
        <v>203</v>
      </c>
      <c r="F509" s="165" t="s">
        <v>203</v>
      </c>
      <c r="G509" s="167">
        <v>60.89</v>
      </c>
      <c r="H509" s="167">
        <v>0</v>
      </c>
      <c r="I509" s="167">
        <f t="shared" si="95"/>
        <v>60.89</v>
      </c>
      <c r="J509" s="167">
        <v>60.89</v>
      </c>
      <c r="K509" s="167">
        <v>0</v>
      </c>
      <c r="L509" s="167">
        <f t="shared" si="96"/>
        <v>60.89</v>
      </c>
      <c r="M509" s="127">
        <f t="shared" si="97"/>
        <v>0</v>
      </c>
      <c r="N509" s="167">
        <f t="shared" si="98"/>
        <v>0</v>
      </c>
      <c r="O509" s="167">
        <f t="shared" si="99"/>
        <v>0</v>
      </c>
      <c r="P509" s="226" t="s">
        <v>203</v>
      </c>
      <c r="Q509" s="187"/>
      <c r="R509" s="128">
        <v>1</v>
      </c>
      <c r="S509" s="128">
        <v>1</v>
      </c>
      <c r="T509" s="174">
        <v>7</v>
      </c>
      <c r="U509" s="174">
        <v>7</v>
      </c>
      <c r="V509" s="174">
        <v>0</v>
      </c>
      <c r="W509" s="169">
        <v>7</v>
      </c>
      <c r="X509" s="169">
        <f t="shared" si="100"/>
        <v>0</v>
      </c>
    </row>
    <row r="510" spans="1:24" ht="16.149999999999999" customHeight="1" x14ac:dyDescent="0.2">
      <c r="A510" s="173" t="s">
        <v>1068</v>
      </c>
      <c r="B510" s="171">
        <v>39797</v>
      </c>
      <c r="C510" s="171" t="s">
        <v>203</v>
      </c>
      <c r="D510" s="165" t="s">
        <v>203</v>
      </c>
      <c r="E510" s="165" t="s">
        <v>203</v>
      </c>
      <c r="F510" s="165" t="s">
        <v>203</v>
      </c>
      <c r="G510" s="167">
        <v>175.59</v>
      </c>
      <c r="H510" s="167">
        <v>0</v>
      </c>
      <c r="I510" s="167">
        <f t="shared" si="95"/>
        <v>175.59</v>
      </c>
      <c r="J510" s="167">
        <f>175.59</f>
        <v>175.59</v>
      </c>
      <c r="K510" s="167">
        <v>0</v>
      </c>
      <c r="L510" s="167">
        <f t="shared" si="96"/>
        <v>175.59</v>
      </c>
      <c r="M510" s="127">
        <f t="shared" si="97"/>
        <v>0</v>
      </c>
      <c r="N510" s="167">
        <f t="shared" si="98"/>
        <v>0</v>
      </c>
      <c r="O510" s="167">
        <f t="shared" si="99"/>
        <v>0</v>
      </c>
      <c r="P510" s="226" t="s">
        <v>203</v>
      </c>
      <c r="Q510" s="187"/>
      <c r="R510" s="128">
        <v>1</v>
      </c>
      <c r="S510" s="128">
        <v>1</v>
      </c>
      <c r="T510" s="174">
        <v>17</v>
      </c>
      <c r="U510" s="174">
        <v>17</v>
      </c>
      <c r="V510" s="174">
        <v>0</v>
      </c>
      <c r="W510" s="169">
        <v>17</v>
      </c>
      <c r="X510" s="169">
        <f t="shared" si="100"/>
        <v>0</v>
      </c>
    </row>
    <row r="511" spans="1:24" ht="16.149999999999999" customHeight="1" x14ac:dyDescent="0.2">
      <c r="A511" s="173" t="s">
        <v>1069</v>
      </c>
      <c r="B511" s="171" t="s">
        <v>1070</v>
      </c>
      <c r="C511" s="171" t="s">
        <v>203</v>
      </c>
      <c r="D511" s="165" t="s">
        <v>203</v>
      </c>
      <c r="E511" s="165" t="s">
        <v>203</v>
      </c>
      <c r="F511" s="165" t="s">
        <v>203</v>
      </c>
      <c r="G511" s="167">
        <f>27.95+9.32+9.32</f>
        <v>46.589999999999996</v>
      </c>
      <c r="H511" s="167">
        <v>0</v>
      </c>
      <c r="I511" s="167">
        <f t="shared" si="95"/>
        <v>46.589999999999996</v>
      </c>
      <c r="J511" s="167">
        <v>46.59</v>
      </c>
      <c r="K511" s="167">
        <v>0</v>
      </c>
      <c r="L511" s="167">
        <f t="shared" si="96"/>
        <v>46.59</v>
      </c>
      <c r="M511" s="127">
        <f t="shared" si="97"/>
        <v>0</v>
      </c>
      <c r="N511" s="167">
        <f t="shared" si="98"/>
        <v>0</v>
      </c>
      <c r="O511" s="167">
        <f t="shared" si="99"/>
        <v>0</v>
      </c>
      <c r="P511" s="226" t="s">
        <v>203</v>
      </c>
      <c r="Q511" s="187"/>
      <c r="R511" s="128">
        <v>1</v>
      </c>
      <c r="S511" s="128">
        <v>1</v>
      </c>
      <c r="T511" s="174">
        <f>3+1+1</f>
        <v>5</v>
      </c>
      <c r="U511" s="174">
        <f>3+1+1</f>
        <v>5</v>
      </c>
      <c r="V511" s="174">
        <v>0</v>
      </c>
      <c r="W511" s="169">
        <v>5</v>
      </c>
      <c r="X511" s="169">
        <f t="shared" si="100"/>
        <v>0</v>
      </c>
    </row>
    <row r="512" spans="1:24" ht="16.149999999999999" customHeight="1" x14ac:dyDescent="0.2">
      <c r="A512" s="173" t="s">
        <v>1071</v>
      </c>
      <c r="B512" s="198">
        <v>39937</v>
      </c>
      <c r="C512" s="171" t="s">
        <v>203</v>
      </c>
      <c r="D512" s="165" t="s">
        <v>203</v>
      </c>
      <c r="E512" s="165" t="s">
        <v>203</v>
      </c>
      <c r="F512" s="165" t="s">
        <v>203</v>
      </c>
      <c r="G512" s="167">
        <v>131.99</v>
      </c>
      <c r="H512" s="167">
        <v>0</v>
      </c>
      <c r="I512" s="167">
        <f t="shared" si="95"/>
        <v>131.99</v>
      </c>
      <c r="J512" s="167">
        <v>131.99</v>
      </c>
      <c r="K512" s="167">
        <v>0</v>
      </c>
      <c r="L512" s="167">
        <f t="shared" si="96"/>
        <v>131.99</v>
      </c>
      <c r="M512" s="127">
        <f t="shared" si="97"/>
        <v>0</v>
      </c>
      <c r="N512" s="167">
        <f t="shared" si="98"/>
        <v>0</v>
      </c>
      <c r="O512" s="167">
        <f t="shared" si="99"/>
        <v>0</v>
      </c>
      <c r="P512" s="226" t="s">
        <v>203</v>
      </c>
      <c r="Q512" s="187"/>
      <c r="R512" s="128">
        <v>1</v>
      </c>
      <c r="S512" s="128">
        <v>1</v>
      </c>
      <c r="T512" s="174">
        <v>13</v>
      </c>
      <c r="U512" s="174">
        <v>13</v>
      </c>
      <c r="V512" s="174">
        <v>0</v>
      </c>
      <c r="W512" s="169">
        <v>13</v>
      </c>
      <c r="X512" s="169">
        <f t="shared" si="100"/>
        <v>0</v>
      </c>
    </row>
    <row r="513" spans="1:24" ht="16.149999999999999" customHeight="1" x14ac:dyDescent="0.2">
      <c r="A513" s="173" t="s">
        <v>1072</v>
      </c>
      <c r="B513" s="198">
        <v>40042</v>
      </c>
      <c r="C513" s="171" t="s">
        <v>203</v>
      </c>
      <c r="D513" s="165" t="s">
        <v>203</v>
      </c>
      <c r="E513" s="165" t="s">
        <v>203</v>
      </c>
      <c r="F513" s="165" t="s">
        <v>203</v>
      </c>
      <c r="G513" s="167">
        <v>651.16</v>
      </c>
      <c r="H513" s="167">
        <v>0</v>
      </c>
      <c r="I513" s="167">
        <f t="shared" si="95"/>
        <v>651.16</v>
      </c>
      <c r="J513" s="167">
        <v>651.16</v>
      </c>
      <c r="K513" s="167">
        <v>0</v>
      </c>
      <c r="L513" s="167">
        <f t="shared" si="96"/>
        <v>651.16</v>
      </c>
      <c r="M513" s="127">
        <f t="shared" si="97"/>
        <v>0</v>
      </c>
      <c r="N513" s="167">
        <f t="shared" si="98"/>
        <v>0</v>
      </c>
      <c r="O513" s="167">
        <f t="shared" si="99"/>
        <v>0</v>
      </c>
      <c r="P513" s="226" t="s">
        <v>203</v>
      </c>
      <c r="Q513" s="187"/>
      <c r="R513" s="128">
        <v>1</v>
      </c>
      <c r="S513" s="128">
        <v>1</v>
      </c>
      <c r="T513" s="174">
        <v>58</v>
      </c>
      <c r="U513" s="174">
        <v>58</v>
      </c>
      <c r="V513" s="174">
        <v>0</v>
      </c>
      <c r="W513" s="169">
        <v>58</v>
      </c>
      <c r="X513" s="169">
        <f t="shared" si="100"/>
        <v>0</v>
      </c>
    </row>
    <row r="514" spans="1:24" ht="16.149999999999999" customHeight="1" x14ac:dyDescent="0.2">
      <c r="A514" s="173" t="s">
        <v>983</v>
      </c>
      <c r="B514" s="198" t="s">
        <v>1073</v>
      </c>
      <c r="C514" s="171" t="s">
        <v>203</v>
      </c>
      <c r="D514" s="165" t="s">
        <v>203</v>
      </c>
      <c r="E514" s="165" t="s">
        <v>203</v>
      </c>
      <c r="F514" s="165" t="s">
        <v>203</v>
      </c>
      <c r="G514" s="167">
        <f>53.59+75.68+87.02+21.43</f>
        <v>237.72000000000003</v>
      </c>
      <c r="H514" s="167">
        <v>0</v>
      </c>
      <c r="I514" s="167">
        <f t="shared" si="95"/>
        <v>237.72000000000003</v>
      </c>
      <c r="J514" s="167">
        <f>129.27+64.95+43.5</f>
        <v>237.72000000000003</v>
      </c>
      <c r="K514" s="167">
        <v>0</v>
      </c>
      <c r="L514" s="167">
        <f t="shared" si="96"/>
        <v>237.72000000000003</v>
      </c>
      <c r="M514" s="127">
        <f t="shared" si="97"/>
        <v>0</v>
      </c>
      <c r="N514" s="167">
        <f t="shared" si="98"/>
        <v>0</v>
      </c>
      <c r="O514" s="167">
        <f t="shared" si="99"/>
        <v>0</v>
      </c>
      <c r="P514" s="226" t="s">
        <v>203</v>
      </c>
      <c r="Q514" s="187"/>
      <c r="R514" s="128">
        <v>1</v>
      </c>
      <c r="S514" s="128">
        <v>1</v>
      </c>
      <c r="T514" s="174">
        <f>5+7+8+2</f>
        <v>22</v>
      </c>
      <c r="U514" s="174">
        <f>5+7+8+2</f>
        <v>22</v>
      </c>
      <c r="V514" s="174">
        <v>0</v>
      </c>
      <c r="W514" s="169">
        <v>22</v>
      </c>
      <c r="X514" s="169">
        <f t="shared" si="100"/>
        <v>0</v>
      </c>
    </row>
    <row r="515" spans="1:24" ht="16.149999999999999" customHeight="1" x14ac:dyDescent="0.2">
      <c r="A515" s="173" t="s">
        <v>1074</v>
      </c>
      <c r="B515" s="198" t="s">
        <v>1075</v>
      </c>
      <c r="C515" s="171" t="s">
        <v>203</v>
      </c>
      <c r="D515" s="165" t="s">
        <v>203</v>
      </c>
      <c r="E515" s="165" t="s">
        <v>203</v>
      </c>
      <c r="F515" s="165" t="s">
        <v>203</v>
      </c>
      <c r="G515" s="167">
        <f>70.7+110.03</f>
        <v>180.73000000000002</v>
      </c>
      <c r="H515" s="167">
        <v>0</v>
      </c>
      <c r="I515" s="167">
        <f t="shared" si="95"/>
        <v>180.73000000000002</v>
      </c>
      <c r="J515" s="167">
        <f>70.7+110.03</f>
        <v>180.73000000000002</v>
      </c>
      <c r="K515" s="167">
        <v>0</v>
      </c>
      <c r="L515" s="167">
        <f t="shared" si="96"/>
        <v>180.73000000000002</v>
      </c>
      <c r="M515" s="127">
        <f t="shared" si="97"/>
        <v>0</v>
      </c>
      <c r="N515" s="167">
        <f t="shared" si="98"/>
        <v>0</v>
      </c>
      <c r="O515" s="167">
        <f t="shared" si="99"/>
        <v>0</v>
      </c>
      <c r="P515" s="226" t="s">
        <v>203</v>
      </c>
      <c r="Q515" s="187"/>
      <c r="R515" s="128">
        <v>1</v>
      </c>
      <c r="S515" s="128">
        <v>1</v>
      </c>
      <c r="T515" s="174">
        <f>7+10</f>
        <v>17</v>
      </c>
      <c r="U515" s="174">
        <f>7+10</f>
        <v>17</v>
      </c>
      <c r="V515" s="174">
        <v>0</v>
      </c>
      <c r="W515" s="169">
        <v>17</v>
      </c>
      <c r="X515" s="169">
        <f t="shared" si="100"/>
        <v>0</v>
      </c>
    </row>
    <row r="516" spans="1:24" ht="16.149999999999999" customHeight="1" x14ac:dyDescent="0.2">
      <c r="A516" s="173" t="s">
        <v>1076</v>
      </c>
      <c r="B516" s="198">
        <v>40137</v>
      </c>
      <c r="C516" s="171" t="s">
        <v>203</v>
      </c>
      <c r="D516" s="165" t="s">
        <v>203</v>
      </c>
      <c r="E516" s="165" t="s">
        <v>203</v>
      </c>
      <c r="F516" s="165" t="s">
        <v>203</v>
      </c>
      <c r="G516" s="167">
        <v>220.91</v>
      </c>
      <c r="H516" s="167">
        <v>0</v>
      </c>
      <c r="I516" s="167">
        <f t="shared" si="95"/>
        <v>220.91</v>
      </c>
      <c r="J516" s="167">
        <v>220.91</v>
      </c>
      <c r="K516" s="167">
        <v>0</v>
      </c>
      <c r="L516" s="167">
        <f t="shared" si="96"/>
        <v>220.91</v>
      </c>
      <c r="M516" s="127">
        <f t="shared" si="97"/>
        <v>0</v>
      </c>
      <c r="N516" s="167">
        <f t="shared" si="98"/>
        <v>0</v>
      </c>
      <c r="O516" s="167">
        <f t="shared" si="99"/>
        <v>0</v>
      </c>
      <c r="P516" s="226" t="s">
        <v>203</v>
      </c>
      <c r="Q516" s="187"/>
      <c r="R516" s="128">
        <v>1</v>
      </c>
      <c r="S516" s="128">
        <v>1</v>
      </c>
      <c r="T516" s="174">
        <v>20</v>
      </c>
      <c r="U516" s="174">
        <v>20</v>
      </c>
      <c r="V516" s="174">
        <v>0</v>
      </c>
      <c r="W516" s="169">
        <v>20</v>
      </c>
      <c r="X516" s="169">
        <f t="shared" si="100"/>
        <v>0</v>
      </c>
    </row>
    <row r="517" spans="1:24" ht="16.149999999999999" customHeight="1" x14ac:dyDescent="0.2">
      <c r="A517" s="173" t="s">
        <v>1077</v>
      </c>
      <c r="B517" s="198">
        <v>40189</v>
      </c>
      <c r="C517" s="171" t="s">
        <v>203</v>
      </c>
      <c r="D517" s="165" t="s">
        <v>203</v>
      </c>
      <c r="E517" s="165" t="s">
        <v>203</v>
      </c>
      <c r="F517" s="165" t="s">
        <v>203</v>
      </c>
      <c r="G517" s="167">
        <v>56.92</v>
      </c>
      <c r="H517" s="167">
        <v>0</v>
      </c>
      <c r="I517" s="167">
        <f t="shared" si="95"/>
        <v>56.92</v>
      </c>
      <c r="J517" s="167">
        <v>56.92</v>
      </c>
      <c r="K517" s="167">
        <v>0</v>
      </c>
      <c r="L517" s="167">
        <f t="shared" si="96"/>
        <v>56.92</v>
      </c>
      <c r="M517" s="127">
        <f t="shared" si="97"/>
        <v>0</v>
      </c>
      <c r="N517" s="167">
        <f t="shared" si="98"/>
        <v>0</v>
      </c>
      <c r="O517" s="167">
        <f t="shared" si="99"/>
        <v>0</v>
      </c>
      <c r="P517" s="226" t="s">
        <v>203</v>
      </c>
      <c r="Q517" s="187"/>
      <c r="R517" s="128">
        <v>1</v>
      </c>
      <c r="S517" s="128">
        <v>1</v>
      </c>
      <c r="T517" s="174">
        <v>6</v>
      </c>
      <c r="U517" s="174">
        <v>6</v>
      </c>
      <c r="V517" s="174">
        <v>0</v>
      </c>
      <c r="W517" s="169">
        <v>6</v>
      </c>
      <c r="X517" s="169">
        <f t="shared" si="100"/>
        <v>0</v>
      </c>
    </row>
    <row r="518" spans="1:24" ht="16.149999999999999" customHeight="1" x14ac:dyDescent="0.2">
      <c r="A518" s="173" t="s">
        <v>1078</v>
      </c>
      <c r="B518" s="198">
        <v>40252</v>
      </c>
      <c r="C518" s="171" t="s">
        <v>203</v>
      </c>
      <c r="D518" s="165" t="s">
        <v>203</v>
      </c>
      <c r="E518" s="165" t="s">
        <v>203</v>
      </c>
      <c r="F518" s="165" t="s">
        <v>203</v>
      </c>
      <c r="G518" s="167">
        <v>59.42</v>
      </c>
      <c r="H518" s="167">
        <v>0</v>
      </c>
      <c r="I518" s="167">
        <f t="shared" si="95"/>
        <v>59.42</v>
      </c>
      <c r="J518" s="167">
        <v>59.42</v>
      </c>
      <c r="K518" s="167">
        <v>0</v>
      </c>
      <c r="L518" s="167">
        <f t="shared" si="96"/>
        <v>59.42</v>
      </c>
      <c r="M518" s="127">
        <f t="shared" si="97"/>
        <v>0</v>
      </c>
      <c r="N518" s="167">
        <f t="shared" si="98"/>
        <v>0</v>
      </c>
      <c r="O518" s="167">
        <f t="shared" si="99"/>
        <v>0</v>
      </c>
      <c r="P518" s="226" t="s">
        <v>203</v>
      </c>
      <c r="Q518" s="187"/>
      <c r="R518" s="128">
        <v>1</v>
      </c>
      <c r="S518" s="128">
        <v>1</v>
      </c>
      <c r="T518" s="174">
        <v>6</v>
      </c>
      <c r="U518" s="174">
        <v>6</v>
      </c>
      <c r="V518" s="174">
        <v>0</v>
      </c>
      <c r="W518" s="169">
        <v>6</v>
      </c>
      <c r="X518" s="169">
        <f t="shared" si="100"/>
        <v>0</v>
      </c>
    </row>
    <row r="519" spans="1:24" ht="16.149999999999999" customHeight="1" x14ac:dyDescent="0.2">
      <c r="A519" s="173" t="s">
        <v>1079</v>
      </c>
      <c r="B519" s="198">
        <v>40302</v>
      </c>
      <c r="C519" s="171" t="s">
        <v>203</v>
      </c>
      <c r="D519" s="165" t="s">
        <v>203</v>
      </c>
      <c r="E519" s="165" t="s">
        <v>203</v>
      </c>
      <c r="F519" s="165" t="s">
        <v>203</v>
      </c>
      <c r="G519" s="167">
        <f>361.51-0.52</f>
        <v>360.99</v>
      </c>
      <c r="H519" s="167">
        <v>0</v>
      </c>
      <c r="I519" s="167">
        <f t="shared" si="95"/>
        <v>360.99</v>
      </c>
      <c r="J519" s="167">
        <v>360.99</v>
      </c>
      <c r="K519" s="167">
        <v>0</v>
      </c>
      <c r="L519" s="167">
        <f t="shared" si="96"/>
        <v>360.99</v>
      </c>
      <c r="M519" s="127">
        <f t="shared" si="97"/>
        <v>0</v>
      </c>
      <c r="N519" s="167">
        <f t="shared" si="98"/>
        <v>0</v>
      </c>
      <c r="O519" s="167">
        <f t="shared" si="99"/>
        <v>0</v>
      </c>
      <c r="P519" s="226" t="s">
        <v>203</v>
      </c>
      <c r="Q519" s="187"/>
      <c r="R519" s="128">
        <v>1</v>
      </c>
      <c r="S519" s="128">
        <v>1</v>
      </c>
      <c r="T519" s="174">
        <v>32</v>
      </c>
      <c r="U519" s="174">
        <v>32</v>
      </c>
      <c r="V519" s="174">
        <v>0</v>
      </c>
      <c r="W519" s="169">
        <v>32</v>
      </c>
      <c r="X519" s="169">
        <f t="shared" si="100"/>
        <v>0</v>
      </c>
    </row>
    <row r="520" spans="1:24" ht="16.149999999999999" customHeight="1" x14ac:dyDescent="0.2">
      <c r="A520" s="173" t="s">
        <v>1080</v>
      </c>
      <c r="B520" s="198">
        <v>40406</v>
      </c>
      <c r="C520" s="171" t="s">
        <v>203</v>
      </c>
      <c r="D520" s="165" t="s">
        <v>203</v>
      </c>
      <c r="E520" s="165" t="s">
        <v>203</v>
      </c>
      <c r="F520" s="165" t="s">
        <v>203</v>
      </c>
      <c r="G520" s="167">
        <v>274.89</v>
      </c>
      <c r="H520" s="167">
        <v>0</v>
      </c>
      <c r="I520" s="167">
        <f t="shared" si="95"/>
        <v>274.89</v>
      </c>
      <c r="J520" s="167">
        <v>274.89</v>
      </c>
      <c r="K520" s="167">
        <v>0</v>
      </c>
      <c r="L520" s="167">
        <f t="shared" si="96"/>
        <v>274.89</v>
      </c>
      <c r="M520" s="127">
        <f t="shared" si="97"/>
        <v>0</v>
      </c>
      <c r="N520" s="167">
        <f t="shared" si="98"/>
        <v>0</v>
      </c>
      <c r="O520" s="167">
        <f t="shared" si="99"/>
        <v>0</v>
      </c>
      <c r="P520" s="226" t="s">
        <v>203</v>
      </c>
      <c r="Q520" s="187"/>
      <c r="R520" s="128">
        <v>1</v>
      </c>
      <c r="S520" s="128">
        <v>1</v>
      </c>
      <c r="T520" s="174">
        <v>24</v>
      </c>
      <c r="U520" s="174">
        <v>24</v>
      </c>
      <c r="V520" s="174">
        <v>0</v>
      </c>
      <c r="W520" s="169">
        <v>24</v>
      </c>
      <c r="X520" s="169">
        <f t="shared" si="100"/>
        <v>0</v>
      </c>
    </row>
    <row r="521" spans="1:24" ht="16.149999999999999" customHeight="1" x14ac:dyDescent="0.2">
      <c r="A521" s="173" t="s">
        <v>235</v>
      </c>
      <c r="B521" s="198">
        <v>40616</v>
      </c>
      <c r="C521" s="171" t="s">
        <v>203</v>
      </c>
      <c r="D521" s="165" t="s">
        <v>203</v>
      </c>
      <c r="E521" s="165" t="s">
        <v>203</v>
      </c>
      <c r="F521" s="165" t="s">
        <v>203</v>
      </c>
      <c r="G521" s="167">
        <v>441.76</v>
      </c>
      <c r="H521" s="167">
        <v>0</v>
      </c>
      <c r="I521" s="167">
        <f t="shared" si="95"/>
        <v>441.76</v>
      </c>
      <c r="J521" s="167">
        <f>100.66+271.24+10.12+59.74</f>
        <v>441.76</v>
      </c>
      <c r="K521" s="167">
        <v>0</v>
      </c>
      <c r="L521" s="167">
        <f t="shared" si="96"/>
        <v>441.76</v>
      </c>
      <c r="M521" s="127">
        <f t="shared" si="97"/>
        <v>0</v>
      </c>
      <c r="N521" s="167">
        <f t="shared" si="98"/>
        <v>0</v>
      </c>
      <c r="O521" s="167">
        <f t="shared" si="99"/>
        <v>0</v>
      </c>
      <c r="P521" s="226" t="s">
        <v>203</v>
      </c>
      <c r="Q521" s="187"/>
      <c r="R521" s="128">
        <v>1</v>
      </c>
      <c r="S521" s="128">
        <v>1</v>
      </c>
      <c r="T521" s="174">
        <v>38</v>
      </c>
      <c r="U521" s="174">
        <v>38</v>
      </c>
      <c r="V521" s="174">
        <v>0</v>
      </c>
      <c r="W521" s="169">
        <v>38</v>
      </c>
      <c r="X521" s="169">
        <f t="shared" si="100"/>
        <v>0</v>
      </c>
    </row>
    <row r="522" spans="1:24" ht="16.149999999999999" customHeight="1" x14ac:dyDescent="0.2">
      <c r="A522" s="173" t="s">
        <v>1081</v>
      </c>
      <c r="B522" s="198">
        <v>40784</v>
      </c>
      <c r="C522" s="171">
        <v>41006</v>
      </c>
      <c r="D522" s="165" t="s">
        <v>203</v>
      </c>
      <c r="E522" s="165" t="s">
        <v>203</v>
      </c>
      <c r="F522" s="165" t="s">
        <v>203</v>
      </c>
      <c r="G522" s="167">
        <v>584.11</v>
      </c>
      <c r="H522" s="167">
        <v>0</v>
      </c>
      <c r="I522" s="167">
        <f t="shared" si="95"/>
        <v>584.11</v>
      </c>
      <c r="J522" s="167">
        <f>432.3+86.43+20.53+33.43+1.73+9.69</f>
        <v>584.11</v>
      </c>
      <c r="K522" s="167">
        <v>0</v>
      </c>
      <c r="L522" s="167">
        <f t="shared" si="96"/>
        <v>584.11</v>
      </c>
      <c r="M522" s="127">
        <f t="shared" si="97"/>
        <v>0</v>
      </c>
      <c r="N522" s="167">
        <f t="shared" si="98"/>
        <v>0</v>
      </c>
      <c r="O522" s="167">
        <f t="shared" si="99"/>
        <v>0</v>
      </c>
      <c r="P522" s="226" t="s">
        <v>203</v>
      </c>
      <c r="Q522" s="187"/>
      <c r="R522" s="128">
        <v>1</v>
      </c>
      <c r="S522" s="128">
        <v>1</v>
      </c>
      <c r="T522" s="174">
        <v>50</v>
      </c>
      <c r="U522" s="174">
        <v>50</v>
      </c>
      <c r="V522" s="174">
        <v>0</v>
      </c>
      <c r="W522" s="169">
        <v>50</v>
      </c>
      <c r="X522" s="169">
        <f t="shared" si="100"/>
        <v>0</v>
      </c>
    </row>
    <row r="523" spans="1:24" ht="16.149999999999999" customHeight="1" x14ac:dyDescent="0.2">
      <c r="A523" s="173" t="s">
        <v>236</v>
      </c>
      <c r="B523" s="198">
        <v>40819</v>
      </c>
      <c r="C523" s="171">
        <v>40988</v>
      </c>
      <c r="D523" s="165" t="s">
        <v>203</v>
      </c>
      <c r="E523" s="165" t="s">
        <v>203</v>
      </c>
      <c r="F523" s="165" t="s">
        <v>203</v>
      </c>
      <c r="G523" s="167">
        <v>439.95</v>
      </c>
      <c r="H523" s="167">
        <v>0</v>
      </c>
      <c r="I523" s="167">
        <f t="shared" si="95"/>
        <v>439.95</v>
      </c>
      <c r="J523" s="167">
        <f>433.94+6.01</f>
        <v>439.95</v>
      </c>
      <c r="K523" s="167">
        <v>0</v>
      </c>
      <c r="L523" s="167">
        <f t="shared" si="96"/>
        <v>439.95</v>
      </c>
      <c r="M523" s="127">
        <f t="shared" si="97"/>
        <v>0</v>
      </c>
      <c r="N523" s="167">
        <f t="shared" si="98"/>
        <v>0</v>
      </c>
      <c r="O523" s="167">
        <f t="shared" si="99"/>
        <v>0</v>
      </c>
      <c r="P523" s="226" t="s">
        <v>203</v>
      </c>
      <c r="Q523" s="187"/>
      <c r="R523" s="128">
        <v>1</v>
      </c>
      <c r="S523" s="128">
        <v>1</v>
      </c>
      <c r="T523" s="174">
        <v>38</v>
      </c>
      <c r="U523" s="174">
        <v>38</v>
      </c>
      <c r="V523" s="174">
        <v>0</v>
      </c>
      <c r="W523" s="169">
        <v>38</v>
      </c>
      <c r="X523" s="169">
        <f t="shared" si="100"/>
        <v>0</v>
      </c>
    </row>
    <row r="524" spans="1:24" ht="16.149999999999999" customHeight="1" x14ac:dyDescent="0.2">
      <c r="A524" s="173" t="s">
        <v>305</v>
      </c>
      <c r="B524" s="198">
        <v>40938</v>
      </c>
      <c r="C524" s="171"/>
      <c r="D524" s="165" t="s">
        <v>203</v>
      </c>
      <c r="E524" s="165" t="s">
        <v>203</v>
      </c>
      <c r="F524" s="165" t="s">
        <v>203</v>
      </c>
      <c r="G524" s="167">
        <v>416.62</v>
      </c>
      <c r="H524" s="167">
        <v>0</v>
      </c>
      <c r="I524" s="167">
        <f t="shared" si="95"/>
        <v>416.62</v>
      </c>
      <c r="J524" s="167">
        <f>256.27+87.78+60.35+12.22</f>
        <v>416.62</v>
      </c>
      <c r="K524" s="167">
        <v>0</v>
      </c>
      <c r="L524" s="167">
        <f t="shared" si="96"/>
        <v>416.62</v>
      </c>
      <c r="M524" s="127">
        <f t="shared" si="97"/>
        <v>0</v>
      </c>
      <c r="N524" s="167">
        <f t="shared" si="98"/>
        <v>0</v>
      </c>
      <c r="O524" s="167">
        <f t="shared" si="99"/>
        <v>0</v>
      </c>
      <c r="P524" s="226" t="s">
        <v>203</v>
      </c>
      <c r="Q524" s="187"/>
      <c r="R524" s="128">
        <v>1</v>
      </c>
      <c r="S524" s="128">
        <v>1</v>
      </c>
      <c r="T524" s="174">
        <v>36</v>
      </c>
      <c r="U524" s="174">
        <v>36</v>
      </c>
      <c r="V524" s="174">
        <v>0</v>
      </c>
      <c r="W524" s="169">
        <v>36</v>
      </c>
      <c r="X524" s="169">
        <f t="shared" si="100"/>
        <v>0</v>
      </c>
    </row>
    <row r="525" spans="1:24" ht="16.149999999999999" customHeight="1" x14ac:dyDescent="0.2">
      <c r="A525" s="173" t="s">
        <v>249</v>
      </c>
      <c r="B525" s="198">
        <v>40980</v>
      </c>
      <c r="C525" s="171"/>
      <c r="D525" s="165" t="s">
        <v>203</v>
      </c>
      <c r="E525" s="165" t="s">
        <v>203</v>
      </c>
      <c r="F525" s="165" t="s">
        <v>203</v>
      </c>
      <c r="G525" s="167">
        <v>144.41999999999999</v>
      </c>
      <c r="H525" s="167">
        <v>0</v>
      </c>
      <c r="I525" s="167">
        <f t="shared" si="95"/>
        <v>144.41999999999999</v>
      </c>
      <c r="J525" s="167">
        <v>144.41999999999999</v>
      </c>
      <c r="K525" s="167">
        <v>0</v>
      </c>
      <c r="L525" s="167">
        <f t="shared" si="96"/>
        <v>144.41999999999999</v>
      </c>
      <c r="M525" s="127">
        <f t="shared" si="97"/>
        <v>0</v>
      </c>
      <c r="N525" s="167">
        <f t="shared" si="98"/>
        <v>0</v>
      </c>
      <c r="O525" s="167">
        <f t="shared" si="99"/>
        <v>0</v>
      </c>
      <c r="P525" s="226" t="s">
        <v>203</v>
      </c>
      <c r="Q525" s="187"/>
      <c r="R525" s="128">
        <v>1</v>
      </c>
      <c r="S525" s="128">
        <v>1</v>
      </c>
      <c r="T525" s="174">
        <v>12</v>
      </c>
      <c r="U525" s="174">
        <v>12</v>
      </c>
      <c r="V525" s="174">
        <v>0</v>
      </c>
      <c r="W525" s="169">
        <v>12</v>
      </c>
      <c r="X525" s="169">
        <f t="shared" si="100"/>
        <v>0</v>
      </c>
    </row>
    <row r="526" spans="1:24" ht="16.149999999999999" customHeight="1" x14ac:dyDescent="0.2">
      <c r="A526" s="173" t="s">
        <v>1082</v>
      </c>
      <c r="B526" s="198" t="s">
        <v>1083</v>
      </c>
      <c r="C526" s="171"/>
      <c r="D526" s="165"/>
      <c r="E526" s="165"/>
      <c r="F526" s="165"/>
      <c r="G526" s="167">
        <f>718.63+19.48</f>
        <v>738.11</v>
      </c>
      <c r="H526" s="167">
        <v>0</v>
      </c>
      <c r="I526" s="167">
        <f t="shared" si="95"/>
        <v>738.11</v>
      </c>
      <c r="J526" s="167">
        <f>346.69+238.23+20.44+132.75</f>
        <v>738.11</v>
      </c>
      <c r="K526" s="167">
        <v>0</v>
      </c>
      <c r="L526" s="167">
        <f t="shared" si="96"/>
        <v>738.11</v>
      </c>
      <c r="M526" s="127">
        <f t="shared" si="97"/>
        <v>0</v>
      </c>
      <c r="N526" s="167">
        <f t="shared" si="98"/>
        <v>0</v>
      </c>
      <c r="O526" s="167">
        <f t="shared" si="99"/>
        <v>0</v>
      </c>
      <c r="P526" s="226" t="s">
        <v>203</v>
      </c>
      <c r="Q526" s="187"/>
      <c r="R526" s="128">
        <v>1</v>
      </c>
      <c r="S526" s="128">
        <v>1</v>
      </c>
      <c r="T526" s="174">
        <v>61</v>
      </c>
      <c r="U526" s="174">
        <v>61</v>
      </c>
      <c r="V526" s="174">
        <v>0</v>
      </c>
      <c r="W526" s="169">
        <v>61</v>
      </c>
      <c r="X526" s="169">
        <f t="shared" si="100"/>
        <v>0</v>
      </c>
    </row>
    <row r="527" spans="1:24" ht="16.149999999999999" customHeight="1" x14ac:dyDescent="0.2">
      <c r="A527" s="173" t="s">
        <v>1084</v>
      </c>
      <c r="B527" s="198">
        <v>41431</v>
      </c>
      <c r="C527" s="171">
        <v>41594</v>
      </c>
      <c r="D527" s="165"/>
      <c r="E527" s="165"/>
      <c r="F527" s="165"/>
      <c r="G527" s="167">
        <v>293.12</v>
      </c>
      <c r="H527" s="167">
        <v>0</v>
      </c>
      <c r="I527" s="167">
        <f t="shared" si="95"/>
        <v>293.12</v>
      </c>
      <c r="J527" s="167">
        <f>49.14+41.8+39.3+28.5+57+23.75+3.9+13+36.73</f>
        <v>293.12</v>
      </c>
      <c r="K527" s="167">
        <v>0</v>
      </c>
      <c r="L527" s="167">
        <f t="shared" si="96"/>
        <v>293.12</v>
      </c>
      <c r="M527" s="127">
        <f t="shared" si="97"/>
        <v>0</v>
      </c>
      <c r="N527" s="167">
        <f t="shared" si="98"/>
        <v>0</v>
      </c>
      <c r="O527" s="167">
        <f t="shared" si="99"/>
        <v>0</v>
      </c>
      <c r="P527" s="226" t="s">
        <v>203</v>
      </c>
      <c r="Q527" s="187"/>
      <c r="R527" s="128">
        <v>1</v>
      </c>
      <c r="S527" s="128">
        <v>1</v>
      </c>
      <c r="T527" s="174">
        <v>23</v>
      </c>
      <c r="U527" s="174">
        <v>23</v>
      </c>
      <c r="V527" s="174">
        <v>0</v>
      </c>
      <c r="W527" s="169">
        <v>23</v>
      </c>
      <c r="X527" s="169">
        <f t="shared" si="100"/>
        <v>0</v>
      </c>
    </row>
    <row r="528" spans="1:24" ht="16.149999999999999" customHeight="1" x14ac:dyDescent="0.2">
      <c r="A528" s="173" t="s">
        <v>1085</v>
      </c>
      <c r="B528" s="198">
        <v>41596</v>
      </c>
      <c r="C528" s="171"/>
      <c r="D528" s="165"/>
      <c r="E528" s="165"/>
      <c r="F528" s="165"/>
      <c r="G528" s="167">
        <f>508.78-1.75</f>
        <v>507.03</v>
      </c>
      <c r="H528" s="167">
        <v>0</v>
      </c>
      <c r="I528" s="167">
        <f t="shared" si="95"/>
        <v>507.03</v>
      </c>
      <c r="J528" s="167">
        <f>207.35+47.5+30.39+51.36+82.27+6.3+54.81+13.62+5.57+7.46+0.4</f>
        <v>507.03</v>
      </c>
      <c r="K528" s="167">
        <v>0</v>
      </c>
      <c r="L528" s="167">
        <f t="shared" si="96"/>
        <v>507.03</v>
      </c>
      <c r="M528" s="127">
        <f t="shared" si="97"/>
        <v>0</v>
      </c>
      <c r="N528" s="167">
        <f t="shared" si="98"/>
        <v>0</v>
      </c>
      <c r="O528" s="167">
        <f t="shared" si="99"/>
        <v>0</v>
      </c>
      <c r="P528" s="226" t="s">
        <v>203</v>
      </c>
      <c r="Q528" s="187"/>
      <c r="R528" s="128">
        <v>1</v>
      </c>
      <c r="S528" s="128">
        <v>0.95</v>
      </c>
      <c r="T528" s="174">
        <v>35</v>
      </c>
      <c r="U528" s="174">
        <v>35</v>
      </c>
      <c r="V528" s="174">
        <v>0</v>
      </c>
      <c r="W528" s="169">
        <v>35</v>
      </c>
      <c r="X528" s="169">
        <f t="shared" si="100"/>
        <v>0</v>
      </c>
    </row>
    <row r="529" spans="1:24" ht="16.149999999999999" customHeight="1" x14ac:dyDescent="0.2">
      <c r="A529" s="173" t="s">
        <v>1086</v>
      </c>
      <c r="B529" s="198">
        <v>41610</v>
      </c>
      <c r="C529" s="171"/>
      <c r="D529" s="165"/>
      <c r="E529" s="165"/>
      <c r="F529" s="165"/>
      <c r="G529" s="167">
        <f>280.91-1.05</f>
        <v>279.86</v>
      </c>
      <c r="H529" s="167">
        <v>0</v>
      </c>
      <c r="I529" s="167">
        <f t="shared" si="95"/>
        <v>279.86</v>
      </c>
      <c r="J529" s="167">
        <f>140.13+51.23+27.64+0.33+52.12+8.41</f>
        <v>279.86</v>
      </c>
      <c r="K529" s="167">
        <v>0</v>
      </c>
      <c r="L529" s="167">
        <f t="shared" si="96"/>
        <v>279.86</v>
      </c>
      <c r="M529" s="127">
        <f t="shared" si="97"/>
        <v>0</v>
      </c>
      <c r="N529" s="167">
        <f t="shared" si="98"/>
        <v>0</v>
      </c>
      <c r="O529" s="167">
        <f t="shared" si="99"/>
        <v>0</v>
      </c>
      <c r="P529" s="226" t="s">
        <v>203</v>
      </c>
      <c r="Q529" s="187"/>
      <c r="R529" s="128">
        <v>1</v>
      </c>
      <c r="S529" s="128">
        <v>1</v>
      </c>
      <c r="T529" s="174">
        <v>21</v>
      </c>
      <c r="U529" s="174">
        <v>21</v>
      </c>
      <c r="V529" s="174">
        <v>0</v>
      </c>
      <c r="W529" s="169">
        <v>21</v>
      </c>
      <c r="X529" s="169">
        <f t="shared" si="100"/>
        <v>0</v>
      </c>
    </row>
    <row r="530" spans="1:24" ht="16.149999999999999" customHeight="1" x14ac:dyDescent="0.2">
      <c r="A530" s="173" t="s">
        <v>1087</v>
      </c>
      <c r="B530" s="198" t="s">
        <v>1088</v>
      </c>
      <c r="C530" s="171">
        <v>41964</v>
      </c>
      <c r="D530" s="165"/>
      <c r="E530" s="165"/>
      <c r="F530" s="165"/>
      <c r="G530" s="167">
        <f>287+2.19</f>
        <v>289.19</v>
      </c>
      <c r="H530" s="167">
        <v>0</v>
      </c>
      <c r="I530" s="167">
        <f t="shared" si="95"/>
        <v>289.19</v>
      </c>
      <c r="J530" s="167">
        <f>52.85+66.04+5.59+58.73+33.27+52.4+2.19+16.22+1.9</f>
        <v>289.18999999999994</v>
      </c>
      <c r="K530" s="167">
        <v>0</v>
      </c>
      <c r="L530" s="167">
        <f t="shared" si="96"/>
        <v>289.18999999999994</v>
      </c>
      <c r="M530" s="127">
        <f t="shared" si="97"/>
        <v>0</v>
      </c>
      <c r="N530" s="167">
        <f t="shared" si="98"/>
        <v>0</v>
      </c>
      <c r="O530" s="167">
        <f t="shared" si="99"/>
        <v>0</v>
      </c>
      <c r="P530" s="226" t="s">
        <v>203</v>
      </c>
      <c r="Q530" s="187"/>
      <c r="R530" s="128">
        <v>1</v>
      </c>
      <c r="S530" s="128">
        <v>1</v>
      </c>
      <c r="T530" s="174">
        <v>21</v>
      </c>
      <c r="U530" s="174">
        <v>21</v>
      </c>
      <c r="V530" s="174">
        <v>0</v>
      </c>
      <c r="W530" s="169">
        <v>21</v>
      </c>
      <c r="X530" s="169">
        <f t="shared" si="100"/>
        <v>0</v>
      </c>
    </row>
    <row r="531" spans="1:24" ht="16.149999999999999" customHeight="1" x14ac:dyDescent="0.2">
      <c r="A531" s="173" t="s">
        <v>1089</v>
      </c>
      <c r="B531" s="198">
        <v>41890</v>
      </c>
      <c r="C531" s="171"/>
      <c r="D531" s="165"/>
      <c r="E531" s="165"/>
      <c r="F531" s="165"/>
      <c r="G531" s="167">
        <f>742.4-2.65</f>
        <v>739.75</v>
      </c>
      <c r="H531" s="167">
        <v>0</v>
      </c>
      <c r="I531" s="167">
        <f t="shared" si="95"/>
        <v>739.75</v>
      </c>
      <c r="J531" s="167">
        <f>38.41+183.9+109.69+9.51+14.41+105.27+51.59+116.94+39.52+7.55+40.97+21.99</f>
        <v>739.75</v>
      </c>
      <c r="K531" s="167">
        <v>0</v>
      </c>
      <c r="L531" s="167">
        <f t="shared" si="96"/>
        <v>739.75</v>
      </c>
      <c r="M531" s="127">
        <f t="shared" si="97"/>
        <v>0</v>
      </c>
      <c r="N531" s="167">
        <f t="shared" si="98"/>
        <v>0</v>
      </c>
      <c r="O531" s="167">
        <f t="shared" si="99"/>
        <v>0</v>
      </c>
      <c r="P531" s="226" t="s">
        <v>203</v>
      </c>
      <c r="Q531" s="187"/>
      <c r="R531" s="128">
        <v>1</v>
      </c>
      <c r="S531" s="128">
        <v>1</v>
      </c>
      <c r="T531" s="174">
        <v>53</v>
      </c>
      <c r="U531" s="174">
        <v>53</v>
      </c>
      <c r="V531" s="174">
        <v>0</v>
      </c>
      <c r="W531" s="169">
        <v>53</v>
      </c>
      <c r="X531" s="169">
        <f t="shared" si="100"/>
        <v>0</v>
      </c>
    </row>
    <row r="532" spans="1:24" ht="16.149999999999999" customHeight="1" x14ac:dyDescent="0.2">
      <c r="A532" s="173" t="s">
        <v>1090</v>
      </c>
      <c r="B532" s="198" t="s">
        <v>1091</v>
      </c>
      <c r="C532" s="171"/>
      <c r="D532" s="165"/>
      <c r="E532" s="165"/>
      <c r="F532" s="165"/>
      <c r="G532" s="167">
        <f>120.33+13.44+125.16</f>
        <v>258.93</v>
      </c>
      <c r="H532" s="167">
        <v>0</v>
      </c>
      <c r="I532" s="167">
        <f t="shared" si="95"/>
        <v>258.93</v>
      </c>
      <c r="J532" s="167">
        <f>120.33+13.44+125.16</f>
        <v>258.93</v>
      </c>
      <c r="K532" s="167">
        <v>0</v>
      </c>
      <c r="L532" s="167">
        <f t="shared" si="96"/>
        <v>258.93</v>
      </c>
      <c r="M532" s="127">
        <f t="shared" si="97"/>
        <v>0</v>
      </c>
      <c r="N532" s="167">
        <f t="shared" si="98"/>
        <v>0</v>
      </c>
      <c r="O532" s="167">
        <f t="shared" si="99"/>
        <v>0</v>
      </c>
      <c r="P532" s="226" t="s">
        <v>203</v>
      </c>
      <c r="Q532" s="187"/>
      <c r="R532" s="128">
        <v>1</v>
      </c>
      <c r="S532" s="128">
        <v>1</v>
      </c>
      <c r="T532" s="174">
        <f>9+1+9</f>
        <v>19</v>
      </c>
      <c r="U532" s="174">
        <f>9+1+9</f>
        <v>19</v>
      </c>
      <c r="V532" s="174">
        <v>0</v>
      </c>
      <c r="W532" s="169">
        <v>19</v>
      </c>
      <c r="X532" s="169">
        <f t="shared" si="100"/>
        <v>0</v>
      </c>
    </row>
    <row r="533" spans="1:24" ht="16.149999999999999" customHeight="1" x14ac:dyDescent="0.2">
      <c r="A533" s="173" t="s">
        <v>1092</v>
      </c>
      <c r="B533" s="198">
        <v>41953</v>
      </c>
      <c r="C533" s="171"/>
      <c r="D533" s="165"/>
      <c r="E533" s="165"/>
      <c r="F533" s="165"/>
      <c r="G533" s="167">
        <f>111.11-0.6</f>
        <v>110.51</v>
      </c>
      <c r="H533" s="167">
        <v>0</v>
      </c>
      <c r="I533" s="167">
        <f t="shared" si="95"/>
        <v>110.51</v>
      </c>
      <c r="J533" s="167">
        <v>110.51</v>
      </c>
      <c r="K533" s="167">
        <v>0</v>
      </c>
      <c r="L533" s="167">
        <f t="shared" si="96"/>
        <v>110.51</v>
      </c>
      <c r="M533" s="127">
        <f t="shared" si="97"/>
        <v>0</v>
      </c>
      <c r="N533" s="167">
        <f t="shared" si="98"/>
        <v>0</v>
      </c>
      <c r="O533" s="167">
        <f t="shared" si="99"/>
        <v>0</v>
      </c>
      <c r="P533" s="226" t="s">
        <v>203</v>
      </c>
      <c r="Q533" s="187"/>
      <c r="R533" s="128">
        <v>1</v>
      </c>
      <c r="S533" s="128">
        <v>1</v>
      </c>
      <c r="T533" s="174">
        <v>8</v>
      </c>
      <c r="U533" s="174">
        <v>8</v>
      </c>
      <c r="V533" s="174">
        <v>0</v>
      </c>
      <c r="W533" s="169">
        <v>8</v>
      </c>
      <c r="X533" s="169">
        <f t="shared" si="100"/>
        <v>0</v>
      </c>
    </row>
    <row r="534" spans="1:24" ht="16.149999999999999" customHeight="1" x14ac:dyDescent="0.2">
      <c r="A534" s="173" t="s">
        <v>391</v>
      </c>
      <c r="B534" s="198" t="s">
        <v>419</v>
      </c>
      <c r="C534" s="171"/>
      <c r="D534" s="165"/>
      <c r="E534" s="165"/>
      <c r="F534" s="165"/>
      <c r="G534" s="167">
        <f>593.86+585.57-17.86</f>
        <v>1161.5700000000002</v>
      </c>
      <c r="H534" s="167">
        <v>0</v>
      </c>
      <c r="I534" s="167">
        <f t="shared" si="95"/>
        <v>1161.5700000000002</v>
      </c>
      <c r="J534" s="167">
        <v>1161.57</v>
      </c>
      <c r="K534" s="167">
        <v>0</v>
      </c>
      <c r="L534" s="167">
        <f t="shared" si="96"/>
        <v>1161.57</v>
      </c>
      <c r="M534" s="127">
        <f t="shared" si="97"/>
        <v>0</v>
      </c>
      <c r="N534" s="167">
        <f t="shared" si="98"/>
        <v>0</v>
      </c>
      <c r="O534" s="167">
        <f t="shared" si="99"/>
        <v>0</v>
      </c>
      <c r="P534" s="226" t="s">
        <v>203</v>
      </c>
      <c r="Q534" s="187"/>
      <c r="R534" s="128">
        <v>1</v>
      </c>
      <c r="S534" s="128">
        <v>1</v>
      </c>
      <c r="T534" s="174">
        <f>32+32</f>
        <v>64</v>
      </c>
      <c r="U534" s="174">
        <f>32+32</f>
        <v>64</v>
      </c>
      <c r="V534" s="174">
        <v>1</v>
      </c>
      <c r="W534" s="169">
        <v>63</v>
      </c>
      <c r="X534" s="169">
        <f t="shared" si="100"/>
        <v>1</v>
      </c>
    </row>
    <row r="535" spans="1:24" ht="16.149999999999999" customHeight="1" x14ac:dyDescent="0.2">
      <c r="A535" s="173" t="s">
        <v>437</v>
      </c>
      <c r="B535" s="198">
        <v>42705</v>
      </c>
      <c r="C535" s="171"/>
      <c r="D535" s="165"/>
      <c r="E535" s="165"/>
      <c r="F535" s="165"/>
      <c r="G535" s="167">
        <f>55.39-0.2</f>
        <v>55.19</v>
      </c>
      <c r="H535" s="167">
        <v>0</v>
      </c>
      <c r="I535" s="167">
        <f t="shared" si="95"/>
        <v>55.19</v>
      </c>
      <c r="J535" s="167">
        <f>11.49+23.34+7.78+10.73+1.64+0.21</f>
        <v>55.190000000000005</v>
      </c>
      <c r="K535" s="167">
        <v>0</v>
      </c>
      <c r="L535" s="167">
        <f t="shared" si="96"/>
        <v>55.190000000000005</v>
      </c>
      <c r="M535" s="127">
        <f t="shared" si="97"/>
        <v>0</v>
      </c>
      <c r="N535" s="167">
        <f t="shared" si="98"/>
        <v>0</v>
      </c>
      <c r="O535" s="167">
        <f t="shared" si="99"/>
        <v>0</v>
      </c>
      <c r="P535" s="226" t="s">
        <v>203</v>
      </c>
      <c r="Q535" s="187"/>
      <c r="R535" s="128">
        <v>1</v>
      </c>
      <c r="S535" s="128">
        <v>0</v>
      </c>
      <c r="T535" s="174">
        <v>4</v>
      </c>
      <c r="U535" s="174">
        <v>4</v>
      </c>
      <c r="V535" s="174">
        <v>0</v>
      </c>
      <c r="W535" s="169">
        <v>4</v>
      </c>
      <c r="X535" s="169">
        <f t="shared" si="100"/>
        <v>0</v>
      </c>
    </row>
    <row r="536" spans="1:24" ht="16.149999999999999" customHeight="1" x14ac:dyDescent="0.2">
      <c r="A536" s="173" t="s">
        <v>1093</v>
      </c>
      <c r="B536" s="198">
        <v>42716</v>
      </c>
      <c r="C536" s="171">
        <v>42968</v>
      </c>
      <c r="D536" s="165"/>
      <c r="E536" s="165"/>
      <c r="F536" s="165"/>
      <c r="G536" s="167">
        <f>273.82-0.95</f>
        <v>272.87</v>
      </c>
      <c r="H536" s="167">
        <v>0</v>
      </c>
      <c r="I536" s="167">
        <f t="shared" si="95"/>
        <v>272.87</v>
      </c>
      <c r="J536" s="167">
        <f>59.26+50.72+18.15+11.96+26.5+47.8+1.31+39.27+17.9</f>
        <v>272.87</v>
      </c>
      <c r="K536" s="167">
        <v>0</v>
      </c>
      <c r="L536" s="167">
        <f t="shared" si="96"/>
        <v>272.87</v>
      </c>
      <c r="M536" s="127">
        <f t="shared" si="97"/>
        <v>0</v>
      </c>
      <c r="N536" s="167">
        <f t="shared" si="98"/>
        <v>0</v>
      </c>
      <c r="O536" s="167">
        <f t="shared" si="99"/>
        <v>0</v>
      </c>
      <c r="P536" s="226" t="s">
        <v>203</v>
      </c>
      <c r="Q536" s="187"/>
      <c r="R536" s="128">
        <v>1</v>
      </c>
      <c r="S536" s="128">
        <v>0</v>
      </c>
      <c r="T536" s="174">
        <v>19</v>
      </c>
      <c r="U536" s="174">
        <v>19</v>
      </c>
      <c r="V536" s="174">
        <v>0</v>
      </c>
      <c r="W536" s="169">
        <v>19</v>
      </c>
      <c r="X536" s="169">
        <f t="shared" si="100"/>
        <v>0</v>
      </c>
    </row>
    <row r="537" spans="1:24" ht="16.149999999999999" customHeight="1" x14ac:dyDescent="0.2">
      <c r="A537" s="186" t="s">
        <v>1094</v>
      </c>
      <c r="B537" s="177" t="s">
        <v>1095</v>
      </c>
      <c r="C537" s="171"/>
      <c r="D537" s="165"/>
      <c r="E537" s="165"/>
      <c r="F537" s="165"/>
      <c r="G537" s="167">
        <f>307.38+0.958718309999943-1.94887757999992+51.24</f>
        <v>357.62984073000001</v>
      </c>
      <c r="H537" s="167">
        <v>0</v>
      </c>
      <c r="I537" s="167">
        <f t="shared" si="95"/>
        <v>357.62984073000001</v>
      </c>
      <c r="J537" s="167">
        <f>306.39+51.24</f>
        <v>357.63</v>
      </c>
      <c r="K537" s="167">
        <v>0</v>
      </c>
      <c r="L537" s="167">
        <f t="shared" si="96"/>
        <v>357.63</v>
      </c>
      <c r="M537" s="127">
        <f t="shared" si="97"/>
        <v>-1.5926999998328029E-4</v>
      </c>
      <c r="N537" s="167">
        <f t="shared" si="98"/>
        <v>0</v>
      </c>
      <c r="O537" s="167">
        <f t="shared" si="99"/>
        <v>-1.5926999998328029E-4</v>
      </c>
      <c r="P537" s="178" t="s">
        <v>203</v>
      </c>
      <c r="Q537" s="168"/>
      <c r="R537" s="128">
        <v>1</v>
      </c>
      <c r="S537" s="128">
        <v>1</v>
      </c>
      <c r="T537" s="174">
        <f>17+3</f>
        <v>20</v>
      </c>
      <c r="U537" s="174">
        <f>17+3</f>
        <v>20</v>
      </c>
      <c r="V537" s="174">
        <v>3</v>
      </c>
      <c r="W537" s="174">
        <v>17</v>
      </c>
      <c r="X537" s="169">
        <f t="shared" si="100"/>
        <v>3</v>
      </c>
    </row>
    <row r="538" spans="1:24" ht="16.149999999999999" customHeight="1" x14ac:dyDescent="0.2">
      <c r="A538" s="173" t="s">
        <v>578</v>
      </c>
      <c r="B538" s="177">
        <v>43227</v>
      </c>
      <c r="C538" s="171">
        <v>43694</v>
      </c>
      <c r="D538" s="165" t="s">
        <v>1096</v>
      </c>
      <c r="E538" s="165" t="s">
        <v>1354</v>
      </c>
      <c r="F538" s="165" t="s">
        <v>1355</v>
      </c>
      <c r="G538" s="167">
        <f>1109.35536944+0.23515788</f>
        <v>1109.5905273200001</v>
      </c>
      <c r="H538" s="167">
        <v>0</v>
      </c>
      <c r="I538" s="167">
        <f t="shared" si="95"/>
        <v>1109.5905273200001</v>
      </c>
      <c r="J538" s="167">
        <f>69.74+90.54+154.75+99.03+33.75+152.88+59.75+9.27+9.09+10.85+24.93+40.28+17.73+33.45+7.69+43.38+49.23+11.79+2.4+8.76</f>
        <v>929.29</v>
      </c>
      <c r="K538" s="167">
        <v>0</v>
      </c>
      <c r="L538" s="167">
        <f t="shared" si="96"/>
        <v>929.29</v>
      </c>
      <c r="M538" s="127">
        <f t="shared" si="97"/>
        <v>180.30052732000013</v>
      </c>
      <c r="N538" s="167">
        <f t="shared" si="98"/>
        <v>0</v>
      </c>
      <c r="O538" s="167">
        <f t="shared" si="99"/>
        <v>180.30052732000013</v>
      </c>
      <c r="P538" s="178" t="s">
        <v>203</v>
      </c>
      <c r="Q538" s="168"/>
      <c r="R538" s="128">
        <v>1</v>
      </c>
      <c r="S538" s="128">
        <v>0.83789999999999998</v>
      </c>
      <c r="T538" s="169">
        <v>65</v>
      </c>
      <c r="U538" s="169">
        <v>65</v>
      </c>
      <c r="V538" s="169">
        <v>2</v>
      </c>
      <c r="W538" s="169">
        <v>57</v>
      </c>
      <c r="X538" s="169">
        <f t="shared" si="100"/>
        <v>8</v>
      </c>
    </row>
    <row r="539" spans="1:24" ht="16.149999999999999" customHeight="1" x14ac:dyDescent="0.2">
      <c r="A539" s="173" t="s">
        <v>579</v>
      </c>
      <c r="B539" s="177" t="s">
        <v>1097</v>
      </c>
      <c r="C539" s="171">
        <v>43653</v>
      </c>
      <c r="D539" s="165" t="s">
        <v>1356</v>
      </c>
      <c r="E539" s="165" t="s">
        <v>1098</v>
      </c>
      <c r="F539" s="165" t="s">
        <v>1357</v>
      </c>
      <c r="G539" s="167">
        <v>642.19000000000005</v>
      </c>
      <c r="H539" s="167">
        <v>0</v>
      </c>
      <c r="I539" s="167">
        <f t="shared" si="95"/>
        <v>642.19000000000005</v>
      </c>
      <c r="J539" s="167">
        <f>114.73+47.64+11.11+30.49+4.45+4.54+51.9+6.58+27.06+7.78-27.06-7.78+27.06+7.78+41.45+21.21+16.23+18.75+3.47+8+18.54+11.61+14.97+30.65+14.83+38.49+18.05+9.94+0.49+20.51+5.32+5.57+18.33+1.8+0.44</f>
        <v>624.93000000000018</v>
      </c>
      <c r="K539" s="167">
        <v>0</v>
      </c>
      <c r="L539" s="167">
        <f t="shared" si="96"/>
        <v>624.93000000000018</v>
      </c>
      <c r="M539" s="127">
        <f t="shared" si="97"/>
        <v>17.259999999999877</v>
      </c>
      <c r="N539" s="167">
        <f t="shared" si="98"/>
        <v>0</v>
      </c>
      <c r="O539" s="167">
        <f t="shared" si="99"/>
        <v>17.259999999999877</v>
      </c>
      <c r="P539" s="178" t="s">
        <v>203</v>
      </c>
      <c r="Q539" s="168"/>
      <c r="R539" s="128">
        <v>1</v>
      </c>
      <c r="S539" s="128">
        <v>0.94950000000000001</v>
      </c>
      <c r="T539" s="169">
        <v>45</v>
      </c>
      <c r="U539" s="169">
        <v>45</v>
      </c>
      <c r="V539" s="169">
        <v>5</v>
      </c>
      <c r="W539" s="169">
        <v>44</v>
      </c>
      <c r="X539" s="169">
        <f t="shared" si="100"/>
        <v>1</v>
      </c>
    </row>
    <row r="540" spans="1:24" ht="16.149999999999999" customHeight="1" x14ac:dyDescent="0.2">
      <c r="A540" s="173" t="s">
        <v>1358</v>
      </c>
      <c r="B540" s="177">
        <v>44188</v>
      </c>
      <c r="C540" s="171">
        <v>44590</v>
      </c>
      <c r="D540" s="165"/>
      <c r="E540" s="165"/>
      <c r="F540" s="165"/>
      <c r="G540" s="167">
        <v>1154.47</v>
      </c>
      <c r="H540" s="167">
        <v>0</v>
      </c>
      <c r="I540" s="167">
        <f t="shared" si="95"/>
        <v>1154.47</v>
      </c>
      <c r="J540" s="167">
        <v>0</v>
      </c>
      <c r="K540" s="167">
        <v>0</v>
      </c>
      <c r="L540" s="167">
        <f t="shared" si="96"/>
        <v>0</v>
      </c>
      <c r="M540" s="127">
        <f t="shared" si="97"/>
        <v>1154.47</v>
      </c>
      <c r="N540" s="167">
        <f t="shared" si="98"/>
        <v>0</v>
      </c>
      <c r="O540" s="167">
        <f t="shared" si="99"/>
        <v>1154.47</v>
      </c>
      <c r="P540" s="178" t="s">
        <v>203</v>
      </c>
      <c r="Q540" s="168"/>
      <c r="R540" s="128">
        <v>1</v>
      </c>
      <c r="S540" s="128">
        <v>0</v>
      </c>
      <c r="T540" s="169">
        <v>57</v>
      </c>
      <c r="U540" s="169">
        <v>57</v>
      </c>
      <c r="V540" s="169">
        <v>0</v>
      </c>
      <c r="W540" s="169">
        <v>0</v>
      </c>
      <c r="X540" s="169">
        <f t="shared" si="100"/>
        <v>57</v>
      </c>
    </row>
    <row r="541" spans="1:24" ht="16.149999999999999" customHeight="1" x14ac:dyDescent="0.2">
      <c r="A541" s="173" t="s">
        <v>1359</v>
      </c>
      <c r="B541" s="177">
        <v>44188</v>
      </c>
      <c r="C541" s="171"/>
      <c r="D541" s="165"/>
      <c r="E541" s="165"/>
      <c r="F541" s="165"/>
      <c r="G541" s="167">
        <v>969.72460524999997</v>
      </c>
      <c r="H541" s="167">
        <v>0</v>
      </c>
      <c r="I541" s="167">
        <f t="shared" si="95"/>
        <v>969.72460524999997</v>
      </c>
      <c r="J541" s="167">
        <v>0</v>
      </c>
      <c r="K541" s="167">
        <v>0</v>
      </c>
      <c r="L541" s="167">
        <f t="shared" si="96"/>
        <v>0</v>
      </c>
      <c r="M541" s="127">
        <f t="shared" si="97"/>
        <v>969.72460524999997</v>
      </c>
      <c r="N541" s="167">
        <f t="shared" si="98"/>
        <v>0</v>
      </c>
      <c r="O541" s="167">
        <f t="shared" si="99"/>
        <v>969.72460524999997</v>
      </c>
      <c r="P541" s="178" t="s">
        <v>203</v>
      </c>
      <c r="Q541" s="168"/>
      <c r="R541" s="128">
        <v>1</v>
      </c>
      <c r="S541" s="128">
        <v>0</v>
      </c>
      <c r="T541" s="169">
        <v>48</v>
      </c>
      <c r="U541" s="169">
        <v>48</v>
      </c>
      <c r="V541" s="169">
        <v>0</v>
      </c>
      <c r="W541" s="169">
        <v>0</v>
      </c>
      <c r="X541" s="169">
        <f t="shared" si="100"/>
        <v>48</v>
      </c>
    </row>
    <row r="542" spans="1:24" ht="16.149999999999999" customHeight="1" x14ac:dyDescent="0.2">
      <c r="A542" s="189" t="s">
        <v>306</v>
      </c>
      <c r="B542" s="189"/>
      <c r="C542" s="189"/>
      <c r="D542" s="189"/>
      <c r="E542" s="189"/>
      <c r="F542" s="189"/>
      <c r="G542" s="190">
        <f t="shared" ref="G542:P542" si="101">SUM(G505:G541)</f>
        <v>14117.010784199998</v>
      </c>
      <c r="H542" s="190">
        <f t="shared" si="101"/>
        <v>0</v>
      </c>
      <c r="I542" s="190">
        <f t="shared" si="101"/>
        <v>14117.010784199998</v>
      </c>
      <c r="J542" s="190">
        <f t="shared" si="101"/>
        <v>11794.849613999999</v>
      </c>
      <c r="K542" s="190">
        <f t="shared" si="101"/>
        <v>0</v>
      </c>
      <c r="L542" s="190">
        <f t="shared" si="101"/>
        <v>11794.849613999999</v>
      </c>
      <c r="M542" s="190">
        <f t="shared" si="101"/>
        <v>2322.1611702</v>
      </c>
      <c r="N542" s="190">
        <f t="shared" si="101"/>
        <v>0</v>
      </c>
      <c r="O542" s="190">
        <f t="shared" si="101"/>
        <v>2322.1611702</v>
      </c>
      <c r="P542" s="190">
        <f t="shared" si="101"/>
        <v>0</v>
      </c>
      <c r="Q542" s="187"/>
      <c r="R542" s="128"/>
      <c r="S542" s="128"/>
      <c r="T542" s="224">
        <f>SUM(T505:T541)</f>
        <v>1079</v>
      </c>
      <c r="U542" s="224">
        <f>SUM(U505:U541)</f>
        <v>1079</v>
      </c>
      <c r="V542" s="224">
        <f>SUM(V505:V541)</f>
        <v>11</v>
      </c>
      <c r="W542" s="224">
        <f>SUM(W505:W541)</f>
        <v>960</v>
      </c>
      <c r="X542" s="224">
        <f>SUM(X505:X541)</f>
        <v>119</v>
      </c>
    </row>
    <row r="543" spans="1:24" ht="16.149999999999999" customHeight="1" x14ac:dyDescent="0.2">
      <c r="A543" s="220"/>
      <c r="B543" s="221"/>
      <c r="C543" s="221"/>
      <c r="D543" s="221"/>
      <c r="E543" s="221"/>
      <c r="F543" s="221"/>
      <c r="G543" s="221"/>
      <c r="H543" s="221"/>
      <c r="I543" s="221"/>
      <c r="J543" s="221"/>
      <c r="K543" s="221"/>
      <c r="L543" s="146"/>
      <c r="M543" s="126"/>
      <c r="N543" s="146"/>
      <c r="O543" s="146"/>
      <c r="P543" s="146"/>
      <c r="Q543" s="187"/>
      <c r="R543" s="223"/>
      <c r="S543" s="223"/>
      <c r="T543" s="219"/>
      <c r="U543" s="219"/>
      <c r="V543" s="219"/>
      <c r="W543" s="219"/>
      <c r="X543" s="219"/>
    </row>
    <row r="544" spans="1:24" ht="16.149999999999999" customHeight="1" x14ac:dyDescent="0.2">
      <c r="A544" s="220" t="s">
        <v>307</v>
      </c>
      <c r="B544" s="221"/>
      <c r="C544" s="221"/>
      <c r="D544" s="221"/>
      <c r="E544" s="221"/>
      <c r="F544" s="221"/>
      <c r="G544" s="221"/>
      <c r="H544" s="221"/>
      <c r="I544" s="221"/>
      <c r="J544" s="221"/>
      <c r="K544" s="221"/>
      <c r="L544" s="146"/>
      <c r="M544" s="126"/>
      <c r="N544" s="146"/>
      <c r="O544" s="146"/>
      <c r="P544" s="146"/>
      <c r="Q544" s="187"/>
      <c r="R544" s="223"/>
      <c r="S544" s="223"/>
      <c r="T544" s="219"/>
      <c r="U544" s="219"/>
      <c r="V544" s="219"/>
      <c r="W544" s="219"/>
      <c r="X544" s="219"/>
    </row>
    <row r="545" spans="1:24" ht="16.149999999999999" customHeight="1" x14ac:dyDescent="0.2">
      <c r="A545" s="173" t="s">
        <v>1099</v>
      </c>
      <c r="B545" s="171">
        <v>38747</v>
      </c>
      <c r="C545" s="171" t="s">
        <v>203</v>
      </c>
      <c r="D545" s="165" t="s">
        <v>203</v>
      </c>
      <c r="E545" s="165" t="s">
        <v>203</v>
      </c>
      <c r="F545" s="165" t="s">
        <v>203</v>
      </c>
      <c r="G545" s="167">
        <f>105.726-4.2289</f>
        <v>101.4971</v>
      </c>
      <c r="H545" s="167">
        <v>0</v>
      </c>
      <c r="I545" s="167">
        <f t="shared" ref="I545:I582" si="102">G545+H545</f>
        <v>101.4971</v>
      </c>
      <c r="J545" s="167">
        <v>101.49708</v>
      </c>
      <c r="K545" s="167">
        <v>0</v>
      </c>
      <c r="L545" s="167">
        <f t="shared" ref="L545:L578" si="103">J545+K545</f>
        <v>101.49708</v>
      </c>
      <c r="M545" s="127">
        <f t="shared" ref="M545:M582" si="104">G545-J545</f>
        <v>2.0000000006348273E-5</v>
      </c>
      <c r="N545" s="167">
        <f t="shared" ref="N545:N582" si="105">H545-K545</f>
        <v>0</v>
      </c>
      <c r="O545" s="167">
        <f t="shared" ref="O545:O582" si="106">M545+N545</f>
        <v>2.0000000006348273E-5</v>
      </c>
      <c r="P545" s="184" t="s">
        <v>203</v>
      </c>
      <c r="Q545" s="187"/>
      <c r="R545" s="128">
        <v>0.96</v>
      </c>
      <c r="S545" s="128">
        <v>0.91</v>
      </c>
      <c r="T545" s="174">
        <v>25</v>
      </c>
      <c r="U545" s="174">
        <v>25</v>
      </c>
      <c r="V545" s="174">
        <v>0</v>
      </c>
      <c r="W545" s="169">
        <v>24</v>
      </c>
      <c r="X545" s="169">
        <f t="shared" ref="X545:X578" si="107">T545-W545</f>
        <v>1</v>
      </c>
    </row>
    <row r="546" spans="1:24" ht="16.149999999999999" customHeight="1" x14ac:dyDescent="0.2">
      <c r="A546" s="173" t="s">
        <v>1100</v>
      </c>
      <c r="B546" s="171" t="s">
        <v>1101</v>
      </c>
      <c r="C546" s="171" t="s">
        <v>203</v>
      </c>
      <c r="D546" s="165" t="s">
        <v>203</v>
      </c>
      <c r="E546" s="165" t="s">
        <v>203</v>
      </c>
      <c r="F546" s="165" t="s">
        <v>203</v>
      </c>
      <c r="G546" s="167">
        <f>314.6+49.24+108.35+78.5+9.8+19.94</f>
        <v>580.43000000000006</v>
      </c>
      <c r="H546" s="167">
        <v>0</v>
      </c>
      <c r="I546" s="167">
        <f t="shared" si="102"/>
        <v>580.43000000000006</v>
      </c>
      <c r="J546" s="167">
        <f>294.93+49.24+98.52+78.5+9.8+9.97</f>
        <v>540.96</v>
      </c>
      <c r="K546" s="167">
        <v>0</v>
      </c>
      <c r="L546" s="167">
        <f t="shared" si="103"/>
        <v>540.96</v>
      </c>
      <c r="M546" s="127">
        <f t="shared" si="104"/>
        <v>39.470000000000027</v>
      </c>
      <c r="N546" s="167">
        <f t="shared" si="105"/>
        <v>0</v>
      </c>
      <c r="O546" s="167">
        <f t="shared" si="106"/>
        <v>39.470000000000027</v>
      </c>
      <c r="P546" s="184" t="s">
        <v>203</v>
      </c>
      <c r="Q546" s="187"/>
      <c r="R546" s="128">
        <v>1</v>
      </c>
      <c r="S546" s="128">
        <v>1</v>
      </c>
      <c r="T546" s="174">
        <f>32+5+11+8+1+2</f>
        <v>59</v>
      </c>
      <c r="U546" s="174">
        <f>32+5+11+8+1+2</f>
        <v>59</v>
      </c>
      <c r="V546" s="174">
        <v>2</v>
      </c>
      <c r="W546" s="169">
        <v>55</v>
      </c>
      <c r="X546" s="169">
        <f t="shared" si="107"/>
        <v>4</v>
      </c>
    </row>
    <row r="547" spans="1:24" ht="16.149999999999999" customHeight="1" x14ac:dyDescent="0.2">
      <c r="A547" s="173" t="s">
        <v>1102</v>
      </c>
      <c r="B547" s="177" t="s">
        <v>1103</v>
      </c>
      <c r="C547" s="171" t="s">
        <v>203</v>
      </c>
      <c r="D547" s="165" t="s">
        <v>203</v>
      </c>
      <c r="E547" s="165" t="s">
        <v>203</v>
      </c>
      <c r="F547" s="165" t="s">
        <v>203</v>
      </c>
      <c r="G547" s="167">
        <f>99.85+11.59+11.09+33.37+220.81+56.5+57.51+259.19+10.37+22.05-10.4</f>
        <v>771.93000000000006</v>
      </c>
      <c r="H547" s="167">
        <v>0</v>
      </c>
      <c r="I547" s="167">
        <f t="shared" si="102"/>
        <v>771.93000000000006</v>
      </c>
      <c r="J547" s="167">
        <f>490.72+248.79+10.36+22.06</f>
        <v>771.93</v>
      </c>
      <c r="K547" s="167">
        <v>0</v>
      </c>
      <c r="L547" s="167">
        <f t="shared" si="103"/>
        <v>771.93</v>
      </c>
      <c r="M547" s="127">
        <f t="shared" si="104"/>
        <v>0</v>
      </c>
      <c r="N547" s="167">
        <f t="shared" si="105"/>
        <v>0</v>
      </c>
      <c r="O547" s="167">
        <f t="shared" si="106"/>
        <v>0</v>
      </c>
      <c r="P547" s="184" t="s">
        <v>203</v>
      </c>
      <c r="Q547" s="187"/>
      <c r="R547" s="128">
        <v>1</v>
      </c>
      <c r="S547" s="128">
        <v>1</v>
      </c>
      <c r="T547" s="174">
        <f>9+1+1+3+20+5+5+24+1+2</f>
        <v>71</v>
      </c>
      <c r="U547" s="174">
        <f>9+1+1+3+20+5+5+24+1+2</f>
        <v>71</v>
      </c>
      <c r="V547" s="174">
        <v>0</v>
      </c>
      <c r="W547" s="169">
        <v>70</v>
      </c>
      <c r="X547" s="169">
        <f t="shared" si="107"/>
        <v>1</v>
      </c>
    </row>
    <row r="548" spans="1:24" ht="16.149999999999999" customHeight="1" x14ac:dyDescent="0.2">
      <c r="A548" s="173" t="s">
        <v>1104</v>
      </c>
      <c r="B548" s="177" t="s">
        <v>1105</v>
      </c>
      <c r="C548" s="171" t="s">
        <v>203</v>
      </c>
      <c r="D548" s="165" t="s">
        <v>203</v>
      </c>
      <c r="E548" s="165" t="s">
        <v>203</v>
      </c>
      <c r="F548" s="165" t="s">
        <v>203</v>
      </c>
      <c r="G548" s="167">
        <f>307.48+22.25+22.7+34.23+11.02</f>
        <v>397.68</v>
      </c>
      <c r="H548" s="167">
        <v>0</v>
      </c>
      <c r="I548" s="167">
        <f t="shared" si="102"/>
        <v>397.68</v>
      </c>
      <c r="J548" s="167">
        <v>397.68</v>
      </c>
      <c r="K548" s="167">
        <v>0</v>
      </c>
      <c r="L548" s="167">
        <f t="shared" si="103"/>
        <v>397.68</v>
      </c>
      <c r="M548" s="127">
        <f t="shared" si="104"/>
        <v>0</v>
      </c>
      <c r="N548" s="167">
        <f t="shared" si="105"/>
        <v>0</v>
      </c>
      <c r="O548" s="167">
        <f t="shared" si="106"/>
        <v>0</v>
      </c>
      <c r="P548" s="184" t="s">
        <v>203</v>
      </c>
      <c r="Q548" s="187"/>
      <c r="R548" s="128">
        <v>1</v>
      </c>
      <c r="S548" s="128">
        <v>1</v>
      </c>
      <c r="T548" s="174">
        <f>26+2+2+3+1</f>
        <v>34</v>
      </c>
      <c r="U548" s="174">
        <f>26+2+2+3+1</f>
        <v>34</v>
      </c>
      <c r="V548" s="174">
        <v>0</v>
      </c>
      <c r="W548" s="169">
        <v>34</v>
      </c>
      <c r="X548" s="169">
        <f t="shared" si="107"/>
        <v>0</v>
      </c>
    </row>
    <row r="549" spans="1:24" ht="16.149999999999999" customHeight="1" x14ac:dyDescent="0.2">
      <c r="A549" s="173" t="s">
        <v>741</v>
      </c>
      <c r="B549" s="177" t="s">
        <v>1106</v>
      </c>
      <c r="C549" s="171" t="s">
        <v>203</v>
      </c>
      <c r="D549" s="165" t="s">
        <v>203</v>
      </c>
      <c r="E549" s="165" t="s">
        <v>203</v>
      </c>
      <c r="F549" s="165" t="s">
        <v>203</v>
      </c>
      <c r="G549" s="167">
        <f>219.74+49.79</f>
        <v>269.53000000000003</v>
      </c>
      <c r="H549" s="167">
        <v>0</v>
      </c>
      <c r="I549" s="167">
        <f t="shared" si="102"/>
        <v>269.53000000000003</v>
      </c>
      <c r="J549" s="167">
        <v>269.52999999999997</v>
      </c>
      <c r="K549" s="167">
        <v>0</v>
      </c>
      <c r="L549" s="167">
        <f t="shared" si="103"/>
        <v>269.52999999999997</v>
      </c>
      <c r="M549" s="127">
        <f t="shared" si="104"/>
        <v>0</v>
      </c>
      <c r="N549" s="167">
        <f t="shared" si="105"/>
        <v>0</v>
      </c>
      <c r="O549" s="167">
        <f t="shared" si="106"/>
        <v>0</v>
      </c>
      <c r="P549" s="184" t="s">
        <v>203</v>
      </c>
      <c r="Q549" s="187"/>
      <c r="R549" s="128">
        <v>1</v>
      </c>
      <c r="S549" s="128">
        <v>1</v>
      </c>
      <c r="T549" s="174">
        <f>22+5</f>
        <v>27</v>
      </c>
      <c r="U549" s="174">
        <f>22+5</f>
        <v>27</v>
      </c>
      <c r="V549" s="174">
        <v>0</v>
      </c>
      <c r="W549" s="169">
        <v>27</v>
      </c>
      <c r="X549" s="169">
        <f t="shared" si="107"/>
        <v>0</v>
      </c>
    </row>
    <row r="550" spans="1:24" ht="16.149999999999999" customHeight="1" x14ac:dyDescent="0.2">
      <c r="A550" s="173" t="s">
        <v>1107</v>
      </c>
      <c r="B550" s="177" t="s">
        <v>1108</v>
      </c>
      <c r="C550" s="171" t="s">
        <v>203</v>
      </c>
      <c r="D550" s="165" t="s">
        <v>203</v>
      </c>
      <c r="E550" s="165" t="s">
        <v>203</v>
      </c>
      <c r="F550" s="165" t="s">
        <v>203</v>
      </c>
      <c r="G550" s="167">
        <f>581.85+46.55+58.18+11.64+25.18</f>
        <v>723.39999999999986</v>
      </c>
      <c r="H550" s="167">
        <v>0</v>
      </c>
      <c r="I550" s="167">
        <f t="shared" si="102"/>
        <v>723.39999999999986</v>
      </c>
      <c r="J550" s="167">
        <f>570.21+46.54+58.18+11.64+11.64+25.19</f>
        <v>723.4</v>
      </c>
      <c r="K550" s="167">
        <v>0</v>
      </c>
      <c r="L550" s="167">
        <f t="shared" si="103"/>
        <v>723.4</v>
      </c>
      <c r="M550" s="127">
        <f t="shared" si="104"/>
        <v>0</v>
      </c>
      <c r="N550" s="167">
        <f t="shared" si="105"/>
        <v>0</v>
      </c>
      <c r="O550" s="167">
        <f t="shared" si="106"/>
        <v>0</v>
      </c>
      <c r="P550" s="184" t="s">
        <v>203</v>
      </c>
      <c r="Q550" s="187"/>
      <c r="R550" s="128">
        <v>1</v>
      </c>
      <c r="S550" s="128">
        <v>1</v>
      </c>
      <c r="T550" s="174">
        <v>62</v>
      </c>
      <c r="U550" s="174">
        <v>62</v>
      </c>
      <c r="V550" s="174">
        <v>0</v>
      </c>
      <c r="W550" s="169">
        <v>62</v>
      </c>
      <c r="X550" s="169">
        <f t="shared" si="107"/>
        <v>0</v>
      </c>
    </row>
    <row r="551" spans="1:24" ht="16.149999999999999" customHeight="1" x14ac:dyDescent="0.2">
      <c r="A551" s="170" t="s">
        <v>745</v>
      </c>
      <c r="B551" s="179" t="s">
        <v>1109</v>
      </c>
      <c r="C551" s="171" t="s">
        <v>203</v>
      </c>
      <c r="D551" s="165" t="s">
        <v>203</v>
      </c>
      <c r="E551" s="165" t="s">
        <v>203</v>
      </c>
      <c r="F551" s="165" t="s">
        <v>203</v>
      </c>
      <c r="G551" s="167">
        <f>55.92+19.36</f>
        <v>75.28</v>
      </c>
      <c r="H551" s="167">
        <v>0</v>
      </c>
      <c r="I551" s="167">
        <f t="shared" si="102"/>
        <v>75.28</v>
      </c>
      <c r="J551" s="167">
        <f>55.92+19.36</f>
        <v>75.28</v>
      </c>
      <c r="K551" s="167">
        <v>0</v>
      </c>
      <c r="L551" s="167">
        <f t="shared" si="103"/>
        <v>75.28</v>
      </c>
      <c r="M551" s="127">
        <f t="shared" si="104"/>
        <v>0</v>
      </c>
      <c r="N551" s="167">
        <f t="shared" si="105"/>
        <v>0</v>
      </c>
      <c r="O551" s="167">
        <f t="shared" si="106"/>
        <v>0</v>
      </c>
      <c r="P551" s="171" t="s">
        <v>203</v>
      </c>
      <c r="Q551" s="187"/>
      <c r="R551" s="128">
        <v>1</v>
      </c>
      <c r="S551" s="172">
        <v>1</v>
      </c>
      <c r="T551" s="169">
        <f>6+2</f>
        <v>8</v>
      </c>
      <c r="U551" s="169">
        <f>6+2</f>
        <v>8</v>
      </c>
      <c r="V551" s="169">
        <v>0</v>
      </c>
      <c r="W551" s="169">
        <v>8</v>
      </c>
      <c r="X551" s="169">
        <f t="shared" si="107"/>
        <v>0</v>
      </c>
    </row>
    <row r="552" spans="1:24" ht="16.149999999999999" customHeight="1" x14ac:dyDescent="0.2">
      <c r="A552" s="200" t="s">
        <v>1110</v>
      </c>
      <c r="B552" s="179" t="s">
        <v>1111</v>
      </c>
      <c r="C552" s="171" t="s">
        <v>203</v>
      </c>
      <c r="D552" s="165" t="s">
        <v>203</v>
      </c>
      <c r="E552" s="165" t="s">
        <v>203</v>
      </c>
      <c r="F552" s="165" t="s">
        <v>203</v>
      </c>
      <c r="G552" s="167">
        <v>20.5</v>
      </c>
      <c r="H552" s="167">
        <v>0</v>
      </c>
      <c r="I552" s="167">
        <f t="shared" si="102"/>
        <v>20.5</v>
      </c>
      <c r="J552" s="167">
        <v>20.5</v>
      </c>
      <c r="K552" s="167">
        <v>0</v>
      </c>
      <c r="L552" s="167">
        <f t="shared" si="103"/>
        <v>20.5</v>
      </c>
      <c r="M552" s="127">
        <f t="shared" si="104"/>
        <v>0</v>
      </c>
      <c r="N552" s="167">
        <f t="shared" si="105"/>
        <v>0</v>
      </c>
      <c r="O552" s="167">
        <f t="shared" si="106"/>
        <v>0</v>
      </c>
      <c r="P552" s="171" t="s">
        <v>203</v>
      </c>
      <c r="Q552" s="187"/>
      <c r="R552" s="128">
        <v>1</v>
      </c>
      <c r="S552" s="172">
        <v>1</v>
      </c>
      <c r="T552" s="169">
        <v>2</v>
      </c>
      <c r="U552" s="169">
        <v>2</v>
      </c>
      <c r="V552" s="169">
        <v>0</v>
      </c>
      <c r="W552" s="169">
        <v>2</v>
      </c>
      <c r="X552" s="169">
        <f t="shared" si="107"/>
        <v>0</v>
      </c>
    </row>
    <row r="553" spans="1:24" ht="16.149999999999999" customHeight="1" x14ac:dyDescent="0.2">
      <c r="A553" s="200" t="s">
        <v>1112</v>
      </c>
      <c r="B553" s="179" t="s">
        <v>1113</v>
      </c>
      <c r="C553" s="171" t="s">
        <v>203</v>
      </c>
      <c r="D553" s="165" t="s">
        <v>203</v>
      </c>
      <c r="E553" s="165" t="s">
        <v>203</v>
      </c>
      <c r="F553" s="165" t="s">
        <v>203</v>
      </c>
      <c r="G553" s="167">
        <v>94.22</v>
      </c>
      <c r="H553" s="167">
        <v>0</v>
      </c>
      <c r="I553" s="167">
        <f t="shared" si="102"/>
        <v>94.22</v>
      </c>
      <c r="J553" s="167">
        <v>94.22</v>
      </c>
      <c r="K553" s="167">
        <v>0</v>
      </c>
      <c r="L553" s="167">
        <f t="shared" si="103"/>
        <v>94.22</v>
      </c>
      <c r="M553" s="127">
        <f t="shared" si="104"/>
        <v>0</v>
      </c>
      <c r="N553" s="167">
        <f t="shared" si="105"/>
        <v>0</v>
      </c>
      <c r="O553" s="167">
        <f t="shared" si="106"/>
        <v>0</v>
      </c>
      <c r="P553" s="171" t="s">
        <v>203</v>
      </c>
      <c r="Q553" s="187"/>
      <c r="R553" s="128">
        <v>1</v>
      </c>
      <c r="S553" s="172">
        <v>1</v>
      </c>
      <c r="T553" s="169">
        <v>8</v>
      </c>
      <c r="U553" s="169">
        <v>8</v>
      </c>
      <c r="V553" s="169">
        <v>0</v>
      </c>
      <c r="W553" s="169">
        <v>8</v>
      </c>
      <c r="X553" s="169">
        <f t="shared" si="107"/>
        <v>0</v>
      </c>
    </row>
    <row r="554" spans="1:24" ht="16.149999999999999" customHeight="1" x14ac:dyDescent="0.2">
      <c r="A554" s="173" t="s">
        <v>1010</v>
      </c>
      <c r="B554" s="179" t="s">
        <v>1114</v>
      </c>
      <c r="C554" s="171" t="s">
        <v>203</v>
      </c>
      <c r="D554" s="165" t="s">
        <v>203</v>
      </c>
      <c r="E554" s="165" t="s">
        <v>203</v>
      </c>
      <c r="F554" s="165" t="s">
        <v>203</v>
      </c>
      <c r="G554" s="167">
        <f>349.72+150.12</f>
        <v>499.84000000000003</v>
      </c>
      <c r="H554" s="167">
        <v>0</v>
      </c>
      <c r="I554" s="167">
        <f t="shared" si="102"/>
        <v>499.84000000000003</v>
      </c>
      <c r="J554" s="167">
        <v>499.84</v>
      </c>
      <c r="K554" s="167">
        <v>0</v>
      </c>
      <c r="L554" s="167">
        <f t="shared" si="103"/>
        <v>499.84</v>
      </c>
      <c r="M554" s="127">
        <f t="shared" si="104"/>
        <v>0</v>
      </c>
      <c r="N554" s="167">
        <f t="shared" si="105"/>
        <v>0</v>
      </c>
      <c r="O554" s="167">
        <f t="shared" si="106"/>
        <v>0</v>
      </c>
      <c r="P554" s="171" t="s">
        <v>203</v>
      </c>
      <c r="Q554" s="187"/>
      <c r="R554" s="128">
        <v>1</v>
      </c>
      <c r="S554" s="172">
        <v>1</v>
      </c>
      <c r="T554" s="169">
        <f>28+12</f>
        <v>40</v>
      </c>
      <c r="U554" s="169">
        <f>28+12</f>
        <v>40</v>
      </c>
      <c r="V554" s="169">
        <v>0</v>
      </c>
      <c r="W554" s="169">
        <v>40</v>
      </c>
      <c r="X554" s="169">
        <f t="shared" si="107"/>
        <v>0</v>
      </c>
    </row>
    <row r="555" spans="1:24" ht="16.149999999999999" customHeight="1" x14ac:dyDescent="0.2">
      <c r="A555" s="173" t="s">
        <v>1115</v>
      </c>
      <c r="B555" s="177" t="s">
        <v>1116</v>
      </c>
      <c r="C555" s="171" t="s">
        <v>203</v>
      </c>
      <c r="D555" s="165" t="s">
        <v>203</v>
      </c>
      <c r="E555" s="165" t="s">
        <v>203</v>
      </c>
      <c r="F555" s="165" t="s">
        <v>203</v>
      </c>
      <c r="G555" s="167">
        <f>211.41+85.58</f>
        <v>296.99</v>
      </c>
      <c r="H555" s="167">
        <v>0</v>
      </c>
      <c r="I555" s="167">
        <f t="shared" si="102"/>
        <v>296.99</v>
      </c>
      <c r="J555" s="167">
        <f>211.41+85.58</f>
        <v>296.99</v>
      </c>
      <c r="K555" s="167">
        <v>0</v>
      </c>
      <c r="L555" s="167">
        <f t="shared" si="103"/>
        <v>296.99</v>
      </c>
      <c r="M555" s="127">
        <f t="shared" si="104"/>
        <v>0</v>
      </c>
      <c r="N555" s="167">
        <f t="shared" si="105"/>
        <v>0</v>
      </c>
      <c r="O555" s="167">
        <f t="shared" si="106"/>
        <v>0</v>
      </c>
      <c r="P555" s="184" t="s">
        <v>203</v>
      </c>
      <c r="Q555" s="187"/>
      <c r="R555" s="128">
        <v>1</v>
      </c>
      <c r="S555" s="128">
        <v>1</v>
      </c>
      <c r="T555" s="174">
        <f>19+7</f>
        <v>26</v>
      </c>
      <c r="U555" s="174">
        <f>19+7</f>
        <v>26</v>
      </c>
      <c r="V555" s="174">
        <v>0</v>
      </c>
      <c r="W555" s="169">
        <v>26</v>
      </c>
      <c r="X555" s="169">
        <f t="shared" si="107"/>
        <v>0</v>
      </c>
    </row>
    <row r="556" spans="1:24" ht="16.149999999999999" customHeight="1" x14ac:dyDescent="0.2">
      <c r="A556" s="173" t="s">
        <v>1025</v>
      </c>
      <c r="B556" s="177" t="s">
        <v>1117</v>
      </c>
      <c r="C556" s="171" t="s">
        <v>203</v>
      </c>
      <c r="D556" s="165" t="s">
        <v>203</v>
      </c>
      <c r="E556" s="165" t="s">
        <v>203</v>
      </c>
      <c r="F556" s="165" t="s">
        <v>203</v>
      </c>
      <c r="G556" s="167">
        <f>92.31+66.03+13.39</f>
        <v>171.73000000000002</v>
      </c>
      <c r="H556" s="167">
        <v>0</v>
      </c>
      <c r="I556" s="167">
        <f t="shared" si="102"/>
        <v>171.73000000000002</v>
      </c>
      <c r="J556" s="167">
        <f>92.31+66.03+13.39</f>
        <v>171.73000000000002</v>
      </c>
      <c r="K556" s="167">
        <v>0</v>
      </c>
      <c r="L556" s="167">
        <f t="shared" si="103"/>
        <v>171.73000000000002</v>
      </c>
      <c r="M556" s="127">
        <f t="shared" si="104"/>
        <v>0</v>
      </c>
      <c r="N556" s="167">
        <f t="shared" si="105"/>
        <v>0</v>
      </c>
      <c r="O556" s="167">
        <f t="shared" si="106"/>
        <v>0</v>
      </c>
      <c r="P556" s="184" t="s">
        <v>203</v>
      </c>
      <c r="Q556" s="187"/>
      <c r="R556" s="128">
        <v>1</v>
      </c>
      <c r="S556" s="128">
        <v>1</v>
      </c>
      <c r="T556" s="174">
        <f>8+5+1</f>
        <v>14</v>
      </c>
      <c r="U556" s="174">
        <f>8+5+1</f>
        <v>14</v>
      </c>
      <c r="V556" s="174">
        <v>0</v>
      </c>
      <c r="W556" s="169">
        <v>14</v>
      </c>
      <c r="X556" s="169">
        <f t="shared" si="107"/>
        <v>0</v>
      </c>
    </row>
    <row r="557" spans="1:24" ht="16.149999999999999" customHeight="1" x14ac:dyDescent="0.2">
      <c r="A557" s="173" t="s">
        <v>1118</v>
      </c>
      <c r="B557" s="177" t="s">
        <v>1119</v>
      </c>
      <c r="C557" s="171" t="s">
        <v>203</v>
      </c>
      <c r="D557" s="165" t="s">
        <v>203</v>
      </c>
      <c r="E557" s="165" t="s">
        <v>203</v>
      </c>
      <c r="F557" s="165" t="s">
        <v>203</v>
      </c>
      <c r="G557" s="167">
        <f>339.21+214.72+90.15-0.08</f>
        <v>643.99999999999989</v>
      </c>
      <c r="H557" s="167">
        <v>0</v>
      </c>
      <c r="I557" s="167">
        <f t="shared" si="102"/>
        <v>643.99999999999989</v>
      </c>
      <c r="J557" s="167">
        <f>339.21+214.64+90.15</f>
        <v>643.99999999999989</v>
      </c>
      <c r="K557" s="167">
        <v>0</v>
      </c>
      <c r="L557" s="167">
        <f t="shared" si="103"/>
        <v>643.99999999999989</v>
      </c>
      <c r="M557" s="127">
        <f t="shared" si="104"/>
        <v>0</v>
      </c>
      <c r="N557" s="167">
        <f t="shared" si="105"/>
        <v>0</v>
      </c>
      <c r="O557" s="167">
        <f t="shared" si="106"/>
        <v>0</v>
      </c>
      <c r="P557" s="184" t="s">
        <v>203</v>
      </c>
      <c r="Q557" s="187"/>
      <c r="R557" s="128">
        <v>1</v>
      </c>
      <c r="S557" s="128">
        <v>1</v>
      </c>
      <c r="T557" s="174">
        <f>30+18+8</f>
        <v>56</v>
      </c>
      <c r="U557" s="174">
        <f>30+18+8</f>
        <v>56</v>
      </c>
      <c r="V557" s="174">
        <v>0</v>
      </c>
      <c r="W557" s="169">
        <v>56</v>
      </c>
      <c r="X557" s="169">
        <f t="shared" si="107"/>
        <v>0</v>
      </c>
    </row>
    <row r="558" spans="1:24" ht="16.149999999999999" customHeight="1" x14ac:dyDescent="0.2">
      <c r="A558" s="173" t="s">
        <v>1120</v>
      </c>
      <c r="B558" s="177" t="s">
        <v>1121</v>
      </c>
      <c r="C558" s="171" t="s">
        <v>203</v>
      </c>
      <c r="D558" s="165" t="s">
        <v>203</v>
      </c>
      <c r="E558" s="165" t="s">
        <v>203</v>
      </c>
      <c r="F558" s="165" t="s">
        <v>203</v>
      </c>
      <c r="G558" s="167">
        <f>644.03+291.76+38.61</f>
        <v>974.4</v>
      </c>
      <c r="H558" s="167">
        <v>0</v>
      </c>
      <c r="I558" s="167">
        <f t="shared" si="102"/>
        <v>974.4</v>
      </c>
      <c r="J558" s="167">
        <f>935.79+38.61</f>
        <v>974.4</v>
      </c>
      <c r="K558" s="167">
        <v>0</v>
      </c>
      <c r="L558" s="167">
        <f t="shared" si="103"/>
        <v>974.4</v>
      </c>
      <c r="M558" s="127">
        <f t="shared" si="104"/>
        <v>0</v>
      </c>
      <c r="N558" s="167">
        <f t="shared" si="105"/>
        <v>0</v>
      </c>
      <c r="O558" s="167">
        <f t="shared" si="106"/>
        <v>0</v>
      </c>
      <c r="P558" s="184" t="s">
        <v>203</v>
      </c>
      <c r="Q558" s="187"/>
      <c r="R558" s="128">
        <v>1</v>
      </c>
      <c r="S558" s="128">
        <v>1</v>
      </c>
      <c r="T558" s="174">
        <f>54+24+3</f>
        <v>81</v>
      </c>
      <c r="U558" s="174">
        <f>54+24+3</f>
        <v>81</v>
      </c>
      <c r="V558" s="174">
        <v>0</v>
      </c>
      <c r="W558" s="169">
        <v>81</v>
      </c>
      <c r="X558" s="169">
        <f t="shared" si="107"/>
        <v>0</v>
      </c>
    </row>
    <row r="559" spans="1:24" ht="16.149999999999999" customHeight="1" x14ac:dyDescent="0.2">
      <c r="A559" s="173" t="s">
        <v>455</v>
      </c>
      <c r="B559" s="177" t="s">
        <v>420</v>
      </c>
      <c r="C559" s="171">
        <v>41657</v>
      </c>
      <c r="D559" s="165" t="s">
        <v>278</v>
      </c>
      <c r="E559" s="165"/>
      <c r="F559" s="165"/>
      <c r="G559" s="167">
        <f>1663.31-3.49+5.04</f>
        <v>1664.86</v>
      </c>
      <c r="H559" s="167">
        <v>0</v>
      </c>
      <c r="I559" s="167">
        <f t="shared" si="102"/>
        <v>1664.86</v>
      </c>
      <c r="J559" s="167">
        <f>1542.21+44.08+10.85+6.87+6.76+5.04+8.59+0.8+19.28</f>
        <v>1644.4799999999996</v>
      </c>
      <c r="K559" s="167">
        <v>0</v>
      </c>
      <c r="L559" s="167">
        <f t="shared" si="103"/>
        <v>1644.4799999999996</v>
      </c>
      <c r="M559" s="127">
        <f t="shared" si="104"/>
        <v>20.380000000000337</v>
      </c>
      <c r="N559" s="167">
        <f t="shared" si="105"/>
        <v>0</v>
      </c>
      <c r="O559" s="167">
        <f t="shared" si="106"/>
        <v>20.380000000000337</v>
      </c>
      <c r="P559" s="167">
        <f>1542.21+44.08+10.85+6.87+6.76+5.04+8.59+0.8-1481.28+19.28-13.35-13.62-136.23</f>
        <v>-3.694822225952521E-13</v>
      </c>
      <c r="Q559" s="187"/>
      <c r="R559" s="128">
        <v>1</v>
      </c>
      <c r="S559" s="128">
        <v>1</v>
      </c>
      <c r="T559" s="174">
        <v>117</v>
      </c>
      <c r="U559" s="174">
        <v>117</v>
      </c>
      <c r="V559" s="174">
        <v>0</v>
      </c>
      <c r="W559" s="169">
        <v>117</v>
      </c>
      <c r="X559" s="169">
        <f t="shared" si="107"/>
        <v>0</v>
      </c>
    </row>
    <row r="560" spans="1:24" ht="16.149999999999999" customHeight="1" x14ac:dyDescent="0.2">
      <c r="A560" s="173" t="s">
        <v>1122</v>
      </c>
      <c r="B560" s="177">
        <v>41183</v>
      </c>
      <c r="C560" s="171"/>
      <c r="D560" s="165" t="s">
        <v>203</v>
      </c>
      <c r="E560" s="165" t="s">
        <v>203</v>
      </c>
      <c r="F560" s="165" t="s">
        <v>203</v>
      </c>
      <c r="G560" s="167">
        <v>617.01</v>
      </c>
      <c r="H560" s="167">
        <v>0</v>
      </c>
      <c r="I560" s="167">
        <f t="shared" si="102"/>
        <v>617.01</v>
      </c>
      <c r="J560" s="167">
        <f>374.38+14.88+227.75</f>
        <v>617.01</v>
      </c>
      <c r="K560" s="167">
        <v>0</v>
      </c>
      <c r="L560" s="167">
        <f t="shared" si="103"/>
        <v>617.01</v>
      </c>
      <c r="M560" s="127">
        <f t="shared" si="104"/>
        <v>0</v>
      </c>
      <c r="N560" s="167">
        <f t="shared" si="105"/>
        <v>0</v>
      </c>
      <c r="O560" s="167">
        <f t="shared" si="106"/>
        <v>0</v>
      </c>
      <c r="P560" s="167" t="s">
        <v>203</v>
      </c>
      <c r="Q560" s="187"/>
      <c r="R560" s="128">
        <v>1</v>
      </c>
      <c r="S560" s="128">
        <v>1</v>
      </c>
      <c r="T560" s="174">
        <v>48</v>
      </c>
      <c r="U560" s="174">
        <v>48</v>
      </c>
      <c r="V560" s="174">
        <v>0</v>
      </c>
      <c r="W560" s="169">
        <v>48</v>
      </c>
      <c r="X560" s="169">
        <f t="shared" si="107"/>
        <v>0</v>
      </c>
    </row>
    <row r="561" spans="1:24" ht="16.149999999999999" customHeight="1" x14ac:dyDescent="0.2">
      <c r="A561" s="173" t="s">
        <v>1123</v>
      </c>
      <c r="B561" s="177">
        <v>41183</v>
      </c>
      <c r="C561" s="171" t="s">
        <v>203</v>
      </c>
      <c r="D561" s="165" t="s">
        <v>203</v>
      </c>
      <c r="E561" s="165" t="s">
        <v>203</v>
      </c>
      <c r="F561" s="165" t="s">
        <v>203</v>
      </c>
      <c r="G561" s="167">
        <v>407.67</v>
      </c>
      <c r="H561" s="167">
        <v>0</v>
      </c>
      <c r="I561" s="167">
        <f t="shared" si="102"/>
        <v>407.67</v>
      </c>
      <c r="J561" s="167">
        <v>407.67</v>
      </c>
      <c r="K561" s="167">
        <v>0</v>
      </c>
      <c r="L561" s="167">
        <f t="shared" si="103"/>
        <v>407.67</v>
      </c>
      <c r="M561" s="127">
        <f t="shared" si="104"/>
        <v>0</v>
      </c>
      <c r="N561" s="167">
        <f t="shared" si="105"/>
        <v>0</v>
      </c>
      <c r="O561" s="167">
        <f t="shared" si="106"/>
        <v>0</v>
      </c>
      <c r="P561" s="184" t="s">
        <v>203</v>
      </c>
      <c r="Q561" s="187"/>
      <c r="R561" s="128">
        <v>1</v>
      </c>
      <c r="S561" s="128">
        <v>1</v>
      </c>
      <c r="T561" s="174">
        <v>31</v>
      </c>
      <c r="U561" s="174">
        <v>31</v>
      </c>
      <c r="V561" s="174">
        <v>0</v>
      </c>
      <c r="W561" s="169">
        <v>31</v>
      </c>
      <c r="X561" s="169">
        <f t="shared" si="107"/>
        <v>0</v>
      </c>
    </row>
    <row r="562" spans="1:24" ht="16.149999999999999" customHeight="1" x14ac:dyDescent="0.2">
      <c r="A562" s="173" t="s">
        <v>634</v>
      </c>
      <c r="B562" s="177" t="s">
        <v>1124</v>
      </c>
      <c r="C562" s="171" t="s">
        <v>203</v>
      </c>
      <c r="D562" s="165" t="s">
        <v>203</v>
      </c>
      <c r="E562" s="165" t="s">
        <v>203</v>
      </c>
      <c r="F562" s="165" t="s">
        <v>203</v>
      </c>
      <c r="G562" s="167">
        <f>98.18+11.05</f>
        <v>109.23</v>
      </c>
      <c r="H562" s="167">
        <v>0</v>
      </c>
      <c r="I562" s="167">
        <f t="shared" si="102"/>
        <v>109.23</v>
      </c>
      <c r="J562" s="167">
        <f>98.18+11.05</f>
        <v>109.23</v>
      </c>
      <c r="K562" s="167">
        <v>0</v>
      </c>
      <c r="L562" s="167">
        <f t="shared" si="103"/>
        <v>109.23</v>
      </c>
      <c r="M562" s="127">
        <f t="shared" si="104"/>
        <v>0</v>
      </c>
      <c r="N562" s="167">
        <f t="shared" si="105"/>
        <v>0</v>
      </c>
      <c r="O562" s="167">
        <f t="shared" si="106"/>
        <v>0</v>
      </c>
      <c r="P562" s="184" t="s">
        <v>203</v>
      </c>
      <c r="Q562" s="187"/>
      <c r="R562" s="128">
        <v>1</v>
      </c>
      <c r="S562" s="128">
        <v>1</v>
      </c>
      <c r="T562" s="174">
        <f>9+1</f>
        <v>10</v>
      </c>
      <c r="U562" s="174">
        <f>9+1</f>
        <v>10</v>
      </c>
      <c r="V562" s="174">
        <v>0</v>
      </c>
      <c r="W562" s="169">
        <v>10</v>
      </c>
      <c r="X562" s="169">
        <f t="shared" si="107"/>
        <v>0</v>
      </c>
    </row>
    <row r="563" spans="1:24" ht="16.149999999999999" customHeight="1" x14ac:dyDescent="0.2">
      <c r="A563" s="173" t="s">
        <v>1125</v>
      </c>
      <c r="B563" s="177" t="s">
        <v>1126</v>
      </c>
      <c r="C563" s="171" t="s">
        <v>203</v>
      </c>
      <c r="D563" s="165" t="s">
        <v>203</v>
      </c>
      <c r="E563" s="165" t="s">
        <v>203</v>
      </c>
      <c r="F563" s="165" t="s">
        <v>203</v>
      </c>
      <c r="G563" s="167">
        <f>317.04-0.11</f>
        <v>316.93</v>
      </c>
      <c r="H563" s="167">
        <v>0</v>
      </c>
      <c r="I563" s="167">
        <f t="shared" si="102"/>
        <v>316.93</v>
      </c>
      <c r="J563" s="167">
        <f>295.45+21.48</f>
        <v>316.93</v>
      </c>
      <c r="K563" s="167">
        <v>0</v>
      </c>
      <c r="L563" s="167">
        <f t="shared" si="103"/>
        <v>316.93</v>
      </c>
      <c r="M563" s="127">
        <f t="shared" si="104"/>
        <v>0</v>
      </c>
      <c r="N563" s="167">
        <f t="shared" si="105"/>
        <v>0</v>
      </c>
      <c r="O563" s="167">
        <f t="shared" si="106"/>
        <v>0</v>
      </c>
      <c r="P563" s="184" t="s">
        <v>203</v>
      </c>
      <c r="Q563" s="187"/>
      <c r="R563" s="128">
        <v>1</v>
      </c>
      <c r="S563" s="128">
        <v>1</v>
      </c>
      <c r="T563" s="174">
        <v>29</v>
      </c>
      <c r="U563" s="174">
        <v>29</v>
      </c>
      <c r="V563" s="174">
        <v>0</v>
      </c>
      <c r="W563" s="169">
        <v>29</v>
      </c>
      <c r="X563" s="169">
        <f t="shared" si="107"/>
        <v>0</v>
      </c>
    </row>
    <row r="564" spans="1:24" ht="16.149999999999999" customHeight="1" x14ac:dyDescent="0.2">
      <c r="A564" s="173" t="s">
        <v>1035</v>
      </c>
      <c r="B564" s="177" t="s">
        <v>1127</v>
      </c>
      <c r="C564" s="171" t="s">
        <v>203</v>
      </c>
      <c r="D564" s="165" t="s">
        <v>203</v>
      </c>
      <c r="E564" s="165" t="s">
        <v>203</v>
      </c>
      <c r="F564" s="165" t="s">
        <v>203</v>
      </c>
      <c r="G564" s="167">
        <f>141.27+166.32+11.83-0.33</f>
        <v>319.09000000000003</v>
      </c>
      <c r="H564" s="167">
        <v>0</v>
      </c>
      <c r="I564" s="167">
        <f t="shared" si="102"/>
        <v>319.09000000000003</v>
      </c>
      <c r="J564" s="167">
        <f>307.6+11.49</f>
        <v>319.09000000000003</v>
      </c>
      <c r="K564" s="167">
        <v>0</v>
      </c>
      <c r="L564" s="167">
        <f t="shared" si="103"/>
        <v>319.09000000000003</v>
      </c>
      <c r="M564" s="127">
        <f t="shared" si="104"/>
        <v>0</v>
      </c>
      <c r="N564" s="167">
        <f t="shared" si="105"/>
        <v>0</v>
      </c>
      <c r="O564" s="167">
        <f t="shared" si="106"/>
        <v>0</v>
      </c>
      <c r="P564" s="184" t="s">
        <v>203</v>
      </c>
      <c r="Q564" s="187"/>
      <c r="R564" s="128">
        <v>1</v>
      </c>
      <c r="S564" s="128">
        <v>1</v>
      </c>
      <c r="T564" s="174">
        <f>12+14+1</f>
        <v>27</v>
      </c>
      <c r="U564" s="174">
        <f>12+14+1</f>
        <v>27</v>
      </c>
      <c r="V564" s="174">
        <v>0</v>
      </c>
      <c r="W564" s="169">
        <v>27</v>
      </c>
      <c r="X564" s="169">
        <f t="shared" si="107"/>
        <v>0</v>
      </c>
    </row>
    <row r="565" spans="1:24" ht="16.149999999999999" customHeight="1" x14ac:dyDescent="0.2">
      <c r="A565" s="173" t="s">
        <v>1128</v>
      </c>
      <c r="B565" s="177" t="s">
        <v>1129</v>
      </c>
      <c r="C565" s="171" t="s">
        <v>203</v>
      </c>
      <c r="D565" s="165" t="s">
        <v>203</v>
      </c>
      <c r="E565" s="165" t="s">
        <v>203</v>
      </c>
      <c r="F565" s="165" t="s">
        <v>203</v>
      </c>
      <c r="G565" s="167">
        <f>373.95+29.23</f>
        <v>403.18</v>
      </c>
      <c r="H565" s="167">
        <v>0</v>
      </c>
      <c r="I565" s="167">
        <f t="shared" si="102"/>
        <v>403.18</v>
      </c>
      <c r="J565" s="167">
        <f>373.95+29.23</f>
        <v>403.18</v>
      </c>
      <c r="K565" s="167">
        <v>0</v>
      </c>
      <c r="L565" s="167">
        <f t="shared" si="103"/>
        <v>403.18</v>
      </c>
      <c r="M565" s="127">
        <f t="shared" si="104"/>
        <v>0</v>
      </c>
      <c r="N565" s="167">
        <f t="shared" si="105"/>
        <v>0</v>
      </c>
      <c r="O565" s="167">
        <f t="shared" si="106"/>
        <v>0</v>
      </c>
      <c r="P565" s="184" t="s">
        <v>203</v>
      </c>
      <c r="Q565" s="187"/>
      <c r="R565" s="128">
        <v>1</v>
      </c>
      <c r="S565" s="128">
        <v>1</v>
      </c>
      <c r="T565" s="174">
        <f>27+2</f>
        <v>29</v>
      </c>
      <c r="U565" s="174">
        <f>27+2</f>
        <v>29</v>
      </c>
      <c r="V565" s="174">
        <v>0</v>
      </c>
      <c r="W565" s="174">
        <v>29</v>
      </c>
      <c r="X565" s="169">
        <f t="shared" si="107"/>
        <v>0</v>
      </c>
    </row>
    <row r="566" spans="1:24" ht="16.149999999999999" customHeight="1" x14ac:dyDescent="0.2">
      <c r="A566" s="173" t="s">
        <v>330</v>
      </c>
      <c r="B566" s="177">
        <v>41589</v>
      </c>
      <c r="C566" s="171">
        <v>41830</v>
      </c>
      <c r="D566" s="165"/>
      <c r="E566" s="165"/>
      <c r="F566" s="165"/>
      <c r="G566" s="167">
        <v>269.04000000000002</v>
      </c>
      <c r="H566" s="167">
        <v>0</v>
      </c>
      <c r="I566" s="167">
        <f t="shared" si="102"/>
        <v>269.04000000000002</v>
      </c>
      <c r="J566" s="167">
        <f>206.68+4.93+8.7+9.35+1.2+32.92</f>
        <v>263.77999999999997</v>
      </c>
      <c r="K566" s="167">
        <v>0</v>
      </c>
      <c r="L566" s="167">
        <f t="shared" si="103"/>
        <v>263.77999999999997</v>
      </c>
      <c r="M566" s="127">
        <f t="shared" si="104"/>
        <v>5.2600000000000477</v>
      </c>
      <c r="N566" s="167">
        <f t="shared" si="105"/>
        <v>0</v>
      </c>
      <c r="O566" s="167">
        <f t="shared" si="106"/>
        <v>5.2600000000000477</v>
      </c>
      <c r="P566" s="184" t="s">
        <v>203</v>
      </c>
      <c r="Q566" s="187"/>
      <c r="R566" s="128">
        <v>1</v>
      </c>
      <c r="S566" s="128">
        <v>1</v>
      </c>
      <c r="T566" s="174">
        <v>24</v>
      </c>
      <c r="U566" s="174">
        <v>24</v>
      </c>
      <c r="V566" s="174">
        <v>0</v>
      </c>
      <c r="W566" s="174">
        <v>24</v>
      </c>
      <c r="X566" s="169">
        <f t="shared" si="107"/>
        <v>0</v>
      </c>
    </row>
    <row r="567" spans="1:24" ht="16.149999999999999" customHeight="1" x14ac:dyDescent="0.2">
      <c r="A567" s="173" t="s">
        <v>331</v>
      </c>
      <c r="B567" s="177">
        <v>41596</v>
      </c>
      <c r="C567" s="171">
        <v>41958</v>
      </c>
      <c r="D567" s="165"/>
      <c r="E567" s="165"/>
      <c r="F567" s="165"/>
      <c r="G567" s="167">
        <v>965.39</v>
      </c>
      <c r="H567" s="167">
        <v>0</v>
      </c>
      <c r="I567" s="167">
        <f t="shared" si="102"/>
        <v>965.39</v>
      </c>
      <c r="J567" s="167">
        <f>776.47+36.86+4.18+71.25+48.23+1.25+20</f>
        <v>958.24</v>
      </c>
      <c r="K567" s="167">
        <v>0</v>
      </c>
      <c r="L567" s="167">
        <f t="shared" si="103"/>
        <v>958.24</v>
      </c>
      <c r="M567" s="127">
        <f t="shared" si="104"/>
        <v>7.1499999999999773</v>
      </c>
      <c r="N567" s="167">
        <f t="shared" si="105"/>
        <v>0</v>
      </c>
      <c r="O567" s="167">
        <f t="shared" si="106"/>
        <v>7.1499999999999773</v>
      </c>
      <c r="P567" s="184" t="s">
        <v>203</v>
      </c>
      <c r="Q567" s="187"/>
      <c r="R567" s="128">
        <v>1</v>
      </c>
      <c r="S567" s="128">
        <v>1</v>
      </c>
      <c r="T567" s="174">
        <v>58</v>
      </c>
      <c r="U567" s="174">
        <v>58</v>
      </c>
      <c r="V567" s="174">
        <v>0</v>
      </c>
      <c r="W567" s="174">
        <v>58</v>
      </c>
      <c r="X567" s="169">
        <f t="shared" si="107"/>
        <v>0</v>
      </c>
    </row>
    <row r="568" spans="1:24" ht="16.149999999999999" customHeight="1" x14ac:dyDescent="0.2">
      <c r="A568" s="173" t="s">
        <v>353</v>
      </c>
      <c r="B568" s="177">
        <v>41925</v>
      </c>
      <c r="C568" s="171">
        <v>42220</v>
      </c>
      <c r="D568" s="165"/>
      <c r="E568" s="165"/>
      <c r="F568" s="165"/>
      <c r="G568" s="167">
        <f>492.17-0.95</f>
        <v>491.22</v>
      </c>
      <c r="H568" s="167">
        <v>0</v>
      </c>
      <c r="I568" s="167">
        <f t="shared" si="102"/>
        <v>491.22</v>
      </c>
      <c r="J568" s="167">
        <f>135.79+88.21+42.48+17.25+14.76+16.98+17+8.1+24.9+48.04+5.05+2.03+50.62+15.28+4.73</f>
        <v>491.22</v>
      </c>
      <c r="K568" s="167">
        <v>0</v>
      </c>
      <c r="L568" s="167">
        <f t="shared" si="103"/>
        <v>491.22</v>
      </c>
      <c r="M568" s="127">
        <f t="shared" si="104"/>
        <v>0</v>
      </c>
      <c r="N568" s="167">
        <f t="shared" si="105"/>
        <v>0</v>
      </c>
      <c r="O568" s="167">
        <f t="shared" si="106"/>
        <v>0</v>
      </c>
      <c r="P568" s="184" t="s">
        <v>203</v>
      </c>
      <c r="Q568" s="187"/>
      <c r="R568" s="128">
        <v>1</v>
      </c>
      <c r="S568" s="128">
        <v>1</v>
      </c>
      <c r="T568" s="174">
        <v>32</v>
      </c>
      <c r="U568" s="174">
        <v>32</v>
      </c>
      <c r="V568" s="174">
        <v>0</v>
      </c>
      <c r="W568" s="174">
        <v>32</v>
      </c>
      <c r="X568" s="169">
        <f t="shared" si="107"/>
        <v>0</v>
      </c>
    </row>
    <row r="569" spans="1:24" ht="16.149999999999999" customHeight="1" x14ac:dyDescent="0.2">
      <c r="A569" s="173" t="s">
        <v>1130</v>
      </c>
      <c r="B569" s="177" t="s">
        <v>1131</v>
      </c>
      <c r="C569" s="171"/>
      <c r="D569" s="165"/>
      <c r="E569" s="165"/>
      <c r="F569" s="165"/>
      <c r="G569" s="167">
        <f>77.67+12.82</f>
        <v>90.490000000000009</v>
      </c>
      <c r="H569" s="167">
        <v>0</v>
      </c>
      <c r="I569" s="167">
        <f t="shared" si="102"/>
        <v>90.490000000000009</v>
      </c>
      <c r="J569" s="167">
        <f>77.67+12.82</f>
        <v>90.490000000000009</v>
      </c>
      <c r="K569" s="167">
        <v>0</v>
      </c>
      <c r="L569" s="167">
        <f t="shared" si="103"/>
        <v>90.490000000000009</v>
      </c>
      <c r="M569" s="127">
        <f t="shared" si="104"/>
        <v>0</v>
      </c>
      <c r="N569" s="167">
        <f t="shared" si="105"/>
        <v>0</v>
      </c>
      <c r="O569" s="167">
        <f t="shared" si="106"/>
        <v>0</v>
      </c>
      <c r="P569" s="184" t="s">
        <v>203</v>
      </c>
      <c r="Q569" s="187"/>
      <c r="R569" s="128">
        <v>1</v>
      </c>
      <c r="S569" s="128">
        <v>1</v>
      </c>
      <c r="T569" s="174">
        <v>7</v>
      </c>
      <c r="U569" s="174">
        <v>7</v>
      </c>
      <c r="V569" s="174">
        <v>0</v>
      </c>
      <c r="W569" s="174">
        <v>7</v>
      </c>
      <c r="X569" s="169">
        <f t="shared" si="107"/>
        <v>0</v>
      </c>
    </row>
    <row r="570" spans="1:24" ht="16.149999999999999" customHeight="1" x14ac:dyDescent="0.2">
      <c r="A570" s="173" t="s">
        <v>354</v>
      </c>
      <c r="B570" s="177" t="s">
        <v>438</v>
      </c>
      <c r="C570" s="171">
        <v>42731</v>
      </c>
      <c r="D570" s="165" t="s">
        <v>439</v>
      </c>
      <c r="E570" s="165" t="s">
        <v>439</v>
      </c>
      <c r="F570" s="165" t="s">
        <v>440</v>
      </c>
      <c r="G570" s="167">
        <f>1142.5+11.83+16.97+0.28</f>
        <v>1171.58</v>
      </c>
      <c r="H570" s="167">
        <v>0</v>
      </c>
      <c r="I570" s="167">
        <f t="shared" si="102"/>
        <v>1171.58</v>
      </c>
      <c r="J570" s="167">
        <f>46.47+35.97+151.07+90.52+86.72+89.94+83.06+39.36+18.32+78.87+30.21+56.77+56.96+71.74+11.83+26.95+23.15+65.34+0.24+12.9+11.18+3.574+7.86+3.73+6.73</f>
        <v>1109.4640000000004</v>
      </c>
      <c r="K570" s="167">
        <v>0</v>
      </c>
      <c r="L570" s="167">
        <f t="shared" si="103"/>
        <v>1109.4640000000004</v>
      </c>
      <c r="M570" s="127">
        <f t="shared" si="104"/>
        <v>62.115999999999531</v>
      </c>
      <c r="N570" s="167">
        <f t="shared" si="105"/>
        <v>0</v>
      </c>
      <c r="O570" s="167">
        <f t="shared" si="106"/>
        <v>62.115999999999531</v>
      </c>
      <c r="P570" s="167">
        <f>12.9+11.17+3.574+7.87+3.73+6.73</f>
        <v>45.97399999999999</v>
      </c>
      <c r="Q570" s="187"/>
      <c r="R570" s="128">
        <v>1</v>
      </c>
      <c r="S570" s="128">
        <v>1</v>
      </c>
      <c r="T570" s="174">
        <v>61</v>
      </c>
      <c r="U570" s="174">
        <v>61</v>
      </c>
      <c r="V570" s="174">
        <v>0</v>
      </c>
      <c r="W570" s="174">
        <v>61</v>
      </c>
      <c r="X570" s="169">
        <f t="shared" si="107"/>
        <v>0</v>
      </c>
    </row>
    <row r="571" spans="1:24" ht="16.149999999999999" customHeight="1" x14ac:dyDescent="0.2">
      <c r="A571" s="173" t="s">
        <v>1132</v>
      </c>
      <c r="B571" s="177" t="s">
        <v>1133</v>
      </c>
      <c r="C571" s="171"/>
      <c r="D571" s="165"/>
      <c r="E571" s="165"/>
      <c r="F571" s="165"/>
      <c r="G571" s="167">
        <f>469.3+15.61+14.7+59.85</f>
        <v>559.46</v>
      </c>
      <c r="H571" s="167">
        <v>0</v>
      </c>
      <c r="I571" s="167">
        <f t="shared" si="102"/>
        <v>559.46</v>
      </c>
      <c r="J571" s="167">
        <f>453.69+15.61+14.7+75.46</f>
        <v>559.46</v>
      </c>
      <c r="K571" s="167">
        <v>0</v>
      </c>
      <c r="L571" s="167">
        <f t="shared" si="103"/>
        <v>559.46</v>
      </c>
      <c r="M571" s="127">
        <f t="shared" si="104"/>
        <v>0</v>
      </c>
      <c r="N571" s="167">
        <f t="shared" si="105"/>
        <v>0</v>
      </c>
      <c r="O571" s="167">
        <f t="shared" si="106"/>
        <v>0</v>
      </c>
      <c r="P571" s="184" t="s">
        <v>203</v>
      </c>
      <c r="Q571" s="187"/>
      <c r="R571" s="128">
        <v>1</v>
      </c>
      <c r="S571" s="128">
        <v>1</v>
      </c>
      <c r="T571" s="174">
        <f>32+1+5</f>
        <v>38</v>
      </c>
      <c r="U571" s="174">
        <v>38</v>
      </c>
      <c r="V571" s="174">
        <v>0</v>
      </c>
      <c r="W571" s="174">
        <v>38</v>
      </c>
      <c r="X571" s="169">
        <f t="shared" si="107"/>
        <v>0</v>
      </c>
    </row>
    <row r="572" spans="1:24" ht="16.149999999999999" customHeight="1" x14ac:dyDescent="0.2">
      <c r="A572" s="173" t="s">
        <v>1134</v>
      </c>
      <c r="B572" s="177">
        <v>42247</v>
      </c>
      <c r="C572" s="171" t="s">
        <v>203</v>
      </c>
      <c r="D572" s="165" t="s">
        <v>203</v>
      </c>
      <c r="E572" s="165" t="s">
        <v>203</v>
      </c>
      <c r="F572" s="165" t="s">
        <v>203</v>
      </c>
      <c r="G572" s="167">
        <v>177.71</v>
      </c>
      <c r="H572" s="167">
        <v>0</v>
      </c>
      <c r="I572" s="167">
        <f t="shared" si="102"/>
        <v>177.71</v>
      </c>
      <c r="J572" s="167">
        <v>177.71</v>
      </c>
      <c r="K572" s="167">
        <v>0</v>
      </c>
      <c r="L572" s="167">
        <f t="shared" si="103"/>
        <v>177.71</v>
      </c>
      <c r="M572" s="127">
        <f t="shared" si="104"/>
        <v>0</v>
      </c>
      <c r="N572" s="167">
        <f t="shared" si="105"/>
        <v>0</v>
      </c>
      <c r="O572" s="167">
        <f t="shared" si="106"/>
        <v>0</v>
      </c>
      <c r="P572" s="184" t="s">
        <v>203</v>
      </c>
      <c r="Q572" s="187"/>
      <c r="R572" s="128">
        <v>1</v>
      </c>
      <c r="S572" s="128">
        <v>1</v>
      </c>
      <c r="T572" s="174">
        <v>13</v>
      </c>
      <c r="U572" s="174">
        <v>13</v>
      </c>
      <c r="V572" s="174">
        <v>0</v>
      </c>
      <c r="W572" s="174">
        <v>13</v>
      </c>
      <c r="X572" s="169">
        <f t="shared" si="107"/>
        <v>0</v>
      </c>
    </row>
    <row r="573" spans="1:24" ht="16.149999999999999" customHeight="1" x14ac:dyDescent="0.2">
      <c r="A573" s="173" t="s">
        <v>392</v>
      </c>
      <c r="B573" s="177" t="s">
        <v>1360</v>
      </c>
      <c r="C573" s="171">
        <v>43338</v>
      </c>
      <c r="D573" s="165"/>
      <c r="E573" s="165" t="s">
        <v>1361</v>
      </c>
      <c r="F573" s="165" t="s">
        <v>1362</v>
      </c>
      <c r="G573" s="167">
        <f>2933.66455745+32.62945725+29.675625+7.47691713+61.66212+1.752513+8.27933298+79.9315991+10.49055297+8.444504+1.99605598+2.00705367+5.15046052+1.9900971+2.17444373+0.87491289+1.28871536</f>
        <v>3189.4889181299995</v>
      </c>
      <c r="H573" s="167">
        <v>0</v>
      </c>
      <c r="I573" s="167">
        <f t="shared" si="102"/>
        <v>3189.4889181299995</v>
      </c>
      <c r="J573" s="167">
        <f>66+59.89+79.76+37.31+83.41+131+126.03+37.31+71.03+18.63+14.96+12.05+18.68+166.44+69.57+45.27+65.83+108.32+88.84+84.08+25.68+36.64+99.94+73.08+141.55+134.83+80.23+129.47+175.17+33.01+46.93+9.72+11.43+3.74+75.33+15.56+38.55+3.68+31.96+10.88+92.7+46.94+3.29+32.75+56.52+17.71+22.81+6.69+13.64+10.2+13.03</f>
        <v>2878.0699999999988</v>
      </c>
      <c r="K573" s="167">
        <v>0</v>
      </c>
      <c r="L573" s="167">
        <f t="shared" si="103"/>
        <v>2878.0699999999988</v>
      </c>
      <c r="M573" s="127">
        <f t="shared" si="104"/>
        <v>311.41891813000075</v>
      </c>
      <c r="N573" s="167">
        <f t="shared" si="105"/>
        <v>0</v>
      </c>
      <c r="O573" s="167">
        <f t="shared" si="106"/>
        <v>311.41891813000075</v>
      </c>
      <c r="P573" s="167">
        <f>66+59.89+79.76+37.31+83.41+131+126.03+37.31+71.03+18.63+14.96+12.05+18.68+166.44+69.57+45.27+65.83+108.32+88.84+84.08+25.68+36.64+99.94+73.08+141.55+134.83+80.23+129.47+175.17+33.01+46.93+9.72+11.43+3.74+75.33+15.56+38.55+3.68+31.96+10.88+92.7+46.94+3.29+32.75-1122.07+56.52+17.71-271.91+22.81+6.69-201.84-48.03-677.09+13.64-440.93-92.97+10.2-10.2+13.03</f>
        <v>13.029999999998948</v>
      </c>
      <c r="Q573" s="187"/>
      <c r="R573" s="128">
        <v>1</v>
      </c>
      <c r="S573" s="128">
        <v>1</v>
      </c>
      <c r="T573" s="174">
        <v>139</v>
      </c>
      <c r="U573" s="174">
        <v>139</v>
      </c>
      <c r="V573" s="174">
        <v>4</v>
      </c>
      <c r="W573" s="174">
        <v>133</v>
      </c>
      <c r="X573" s="174">
        <f>T573-W573</f>
        <v>6</v>
      </c>
    </row>
    <row r="574" spans="1:24" ht="16.149999999999999" customHeight="1" x14ac:dyDescent="0.2">
      <c r="A574" s="173" t="s">
        <v>1135</v>
      </c>
      <c r="B574" s="177" t="s">
        <v>1136</v>
      </c>
      <c r="C574" s="171"/>
      <c r="D574" s="165"/>
      <c r="E574" s="165"/>
      <c r="F574" s="165"/>
      <c r="G574" s="167">
        <f>235.31+14.45+14.63</f>
        <v>264.39</v>
      </c>
      <c r="H574" s="167">
        <v>0</v>
      </c>
      <c r="I574" s="167">
        <f t="shared" si="102"/>
        <v>264.39</v>
      </c>
      <c r="J574" s="167">
        <f>117.94+117.37+14.45+14.63</f>
        <v>264.39</v>
      </c>
      <c r="K574" s="167">
        <v>0</v>
      </c>
      <c r="L574" s="167">
        <f t="shared" si="103"/>
        <v>264.39</v>
      </c>
      <c r="M574" s="127">
        <f t="shared" si="104"/>
        <v>0</v>
      </c>
      <c r="N574" s="167">
        <f t="shared" si="105"/>
        <v>0</v>
      </c>
      <c r="O574" s="167">
        <f t="shared" si="106"/>
        <v>0</v>
      </c>
      <c r="P574" s="184" t="s">
        <v>203</v>
      </c>
      <c r="Q574" s="187"/>
      <c r="R574" s="128">
        <v>1</v>
      </c>
      <c r="S574" s="128">
        <v>1</v>
      </c>
      <c r="T574" s="174">
        <f>16+1+1</f>
        <v>18</v>
      </c>
      <c r="U574" s="174">
        <f>16+1+1</f>
        <v>18</v>
      </c>
      <c r="V574" s="174">
        <v>0</v>
      </c>
      <c r="W574" s="174">
        <v>18</v>
      </c>
      <c r="X574" s="169">
        <f t="shared" si="107"/>
        <v>0</v>
      </c>
    </row>
    <row r="575" spans="1:24" ht="16.149999999999999" customHeight="1" x14ac:dyDescent="0.2">
      <c r="A575" s="173" t="s">
        <v>1137</v>
      </c>
      <c r="B575" s="177" t="s">
        <v>1138</v>
      </c>
      <c r="C575" s="171"/>
      <c r="D575" s="165"/>
      <c r="E575" s="165"/>
      <c r="F575" s="165"/>
      <c r="G575" s="167">
        <v>0</v>
      </c>
      <c r="H575" s="167">
        <f>438.66+10.32</f>
        <v>448.98</v>
      </c>
      <c r="I575" s="167">
        <f t="shared" si="102"/>
        <v>448.98</v>
      </c>
      <c r="J575" s="167">
        <v>0</v>
      </c>
      <c r="K575" s="167">
        <f>3.23+3.36</f>
        <v>6.59</v>
      </c>
      <c r="L575" s="167">
        <f t="shared" si="103"/>
        <v>6.59</v>
      </c>
      <c r="M575" s="127">
        <f t="shared" si="104"/>
        <v>0</v>
      </c>
      <c r="N575" s="167">
        <f t="shared" si="105"/>
        <v>442.39000000000004</v>
      </c>
      <c r="O575" s="167">
        <f t="shared" si="106"/>
        <v>442.39000000000004</v>
      </c>
      <c r="P575" s="184" t="s">
        <v>203</v>
      </c>
      <c r="Q575" s="187"/>
      <c r="R575" s="128">
        <v>0</v>
      </c>
      <c r="S575" s="128">
        <v>1</v>
      </c>
      <c r="T575" s="174">
        <v>0</v>
      </c>
      <c r="U575" s="174">
        <v>417</v>
      </c>
      <c r="V575" s="174">
        <v>0</v>
      </c>
      <c r="W575" s="174">
        <v>0</v>
      </c>
      <c r="X575" s="169">
        <f t="shared" si="107"/>
        <v>0</v>
      </c>
    </row>
    <row r="576" spans="1:24" ht="16.149999999999999" customHeight="1" x14ac:dyDescent="0.2">
      <c r="A576" s="173" t="s">
        <v>1139</v>
      </c>
      <c r="B576" s="177" t="s">
        <v>1140</v>
      </c>
      <c r="C576" s="171"/>
      <c r="D576" s="165"/>
      <c r="E576" s="165"/>
      <c r="F576" s="165"/>
      <c r="G576" s="167">
        <f>168.24+186.41-0.23</f>
        <v>354.41999999999996</v>
      </c>
      <c r="H576" s="167">
        <v>0</v>
      </c>
      <c r="I576" s="167">
        <f t="shared" si="102"/>
        <v>354.41999999999996</v>
      </c>
      <c r="J576" s="167">
        <f>168+144.42+42</f>
        <v>354.41999999999996</v>
      </c>
      <c r="K576" s="167">
        <v>0</v>
      </c>
      <c r="L576" s="167">
        <f t="shared" si="103"/>
        <v>354.41999999999996</v>
      </c>
      <c r="M576" s="127">
        <f t="shared" si="104"/>
        <v>0</v>
      </c>
      <c r="N576" s="167">
        <f t="shared" si="105"/>
        <v>0</v>
      </c>
      <c r="O576" s="167">
        <f t="shared" si="106"/>
        <v>0</v>
      </c>
      <c r="P576" s="184" t="s">
        <v>203</v>
      </c>
      <c r="Q576" s="187"/>
      <c r="R576" s="128">
        <v>1</v>
      </c>
      <c r="S576" s="128">
        <v>1</v>
      </c>
      <c r="T576" s="174">
        <f>11+13</f>
        <v>24</v>
      </c>
      <c r="U576" s="174">
        <v>24</v>
      </c>
      <c r="V576" s="174">
        <v>0</v>
      </c>
      <c r="W576" s="174">
        <v>24</v>
      </c>
      <c r="X576" s="169">
        <f t="shared" si="107"/>
        <v>0</v>
      </c>
    </row>
    <row r="577" spans="1:24" ht="16.149999999999999" customHeight="1" x14ac:dyDescent="0.2">
      <c r="A577" s="173" t="s">
        <v>1141</v>
      </c>
      <c r="B577" s="177" t="s">
        <v>1142</v>
      </c>
      <c r="C577" s="171"/>
      <c r="D577" s="165"/>
      <c r="E577" s="165"/>
      <c r="F577" s="165"/>
      <c r="G577" s="167">
        <v>0</v>
      </c>
      <c r="H577" s="167">
        <f>553.15+0.37</f>
        <v>553.52</v>
      </c>
      <c r="I577" s="167">
        <f t="shared" si="102"/>
        <v>553.52</v>
      </c>
      <c r="J577" s="167">
        <v>0</v>
      </c>
      <c r="K577" s="167">
        <f>5.32+0.85</f>
        <v>6.17</v>
      </c>
      <c r="L577" s="167">
        <f t="shared" si="103"/>
        <v>6.17</v>
      </c>
      <c r="M577" s="127">
        <f t="shared" si="104"/>
        <v>0</v>
      </c>
      <c r="N577" s="167">
        <f t="shared" si="105"/>
        <v>547.35</v>
      </c>
      <c r="O577" s="167">
        <f t="shared" si="106"/>
        <v>547.35</v>
      </c>
      <c r="P577" s="184" t="s">
        <v>203</v>
      </c>
      <c r="Q577" s="187"/>
      <c r="R577" s="128">
        <v>0</v>
      </c>
      <c r="S577" s="128">
        <v>1</v>
      </c>
      <c r="T577" s="174">
        <v>0</v>
      </c>
      <c r="U577" s="174" t="s">
        <v>395</v>
      </c>
      <c r="V577" s="174">
        <v>0</v>
      </c>
      <c r="W577" s="174">
        <v>0</v>
      </c>
      <c r="X577" s="169">
        <f t="shared" si="107"/>
        <v>0</v>
      </c>
    </row>
    <row r="578" spans="1:24" ht="16.149999999999999" customHeight="1" x14ac:dyDescent="0.2">
      <c r="A578" s="173" t="s">
        <v>1143</v>
      </c>
      <c r="B578" s="177">
        <v>43087</v>
      </c>
      <c r="C578" s="171"/>
      <c r="D578" s="165"/>
      <c r="E578" s="165"/>
      <c r="F578" s="165"/>
      <c r="G578" s="167">
        <f>529.75-0.02</f>
        <v>529.73</v>
      </c>
      <c r="H578" s="167">
        <v>0</v>
      </c>
      <c r="I578" s="167">
        <f t="shared" si="102"/>
        <v>529.73</v>
      </c>
      <c r="J578" s="167">
        <f>486.34+0.47+16.91+26.01</f>
        <v>529.73</v>
      </c>
      <c r="K578" s="167">
        <v>0</v>
      </c>
      <c r="L578" s="167">
        <f t="shared" si="103"/>
        <v>529.73</v>
      </c>
      <c r="M578" s="127">
        <f t="shared" si="104"/>
        <v>0</v>
      </c>
      <c r="N578" s="167">
        <f t="shared" si="105"/>
        <v>0</v>
      </c>
      <c r="O578" s="167">
        <f t="shared" si="106"/>
        <v>0</v>
      </c>
      <c r="P578" s="184" t="s">
        <v>203</v>
      </c>
      <c r="Q578" s="187"/>
      <c r="R578" s="128">
        <v>1</v>
      </c>
      <c r="S578" s="128">
        <v>1</v>
      </c>
      <c r="T578" s="174">
        <v>30</v>
      </c>
      <c r="U578" s="174">
        <v>30</v>
      </c>
      <c r="V578" s="174">
        <v>0</v>
      </c>
      <c r="W578" s="174">
        <v>30</v>
      </c>
      <c r="X578" s="169">
        <f t="shared" si="107"/>
        <v>0</v>
      </c>
    </row>
    <row r="579" spans="1:24" ht="16.149999999999999" customHeight="1" x14ac:dyDescent="0.2">
      <c r="A579" s="182" t="s">
        <v>501</v>
      </c>
      <c r="B579" s="177" t="s">
        <v>1144</v>
      </c>
      <c r="C579" s="171">
        <v>43583</v>
      </c>
      <c r="D579" s="165"/>
      <c r="E579" s="165" t="s">
        <v>1145</v>
      </c>
      <c r="F579" s="165" t="s">
        <v>1146</v>
      </c>
      <c r="G579" s="167">
        <f>258.12+3.04</f>
        <v>261.16000000000003</v>
      </c>
      <c r="H579" s="167">
        <v>0</v>
      </c>
      <c r="I579" s="167">
        <f t="shared" si="102"/>
        <v>261.16000000000003</v>
      </c>
      <c r="J579" s="167">
        <f>44.98+3.06+28.34+13.57+5.4+30.69+7.14+19.83+4.27+12.09+3.34+7.33+20.85+4.94+10.22+23.49+4.64+6.79+5.18+1.34+0.13</f>
        <v>257.61999999999995</v>
      </c>
      <c r="K579" s="167">
        <v>0</v>
      </c>
      <c r="L579" s="167">
        <f>J579+K579</f>
        <v>257.61999999999995</v>
      </c>
      <c r="M579" s="127">
        <f t="shared" si="104"/>
        <v>3.5400000000000773</v>
      </c>
      <c r="N579" s="167">
        <f t="shared" si="105"/>
        <v>0</v>
      </c>
      <c r="O579" s="167">
        <f t="shared" si="106"/>
        <v>3.5400000000000773</v>
      </c>
      <c r="P579" s="178" t="s">
        <v>203</v>
      </c>
      <c r="Q579" s="168"/>
      <c r="R579" s="128">
        <v>1</v>
      </c>
      <c r="S579" s="128">
        <v>1</v>
      </c>
      <c r="T579" s="169">
        <v>18</v>
      </c>
      <c r="U579" s="169">
        <v>18</v>
      </c>
      <c r="V579" s="169">
        <v>0</v>
      </c>
      <c r="W579" s="169">
        <v>18</v>
      </c>
      <c r="X579" s="169">
        <f>T579-W579</f>
        <v>0</v>
      </c>
    </row>
    <row r="580" spans="1:24" ht="16.149999999999999" customHeight="1" x14ac:dyDescent="0.2">
      <c r="A580" s="182" t="s">
        <v>580</v>
      </c>
      <c r="B580" s="177">
        <v>43223</v>
      </c>
      <c r="C580" s="171">
        <v>43583</v>
      </c>
      <c r="D580" s="165"/>
      <c r="E580" s="165" t="s">
        <v>1147</v>
      </c>
      <c r="F580" s="165" t="s">
        <v>1148</v>
      </c>
      <c r="G580" s="167">
        <f>334.45-0.26</f>
        <v>334.19</v>
      </c>
      <c r="H580" s="167">
        <v>0</v>
      </c>
      <c r="I580" s="167">
        <f t="shared" si="102"/>
        <v>334.19</v>
      </c>
      <c r="J580" s="167">
        <f>97.13+9.54+27.41+36.24+18.69+11.23+34.21+17.61+4.78+15.26+5.67+15.58+26.76+4.37+9.71</f>
        <v>334.18999999999994</v>
      </c>
      <c r="K580" s="167">
        <v>0</v>
      </c>
      <c r="L580" s="167">
        <f>J580+K580</f>
        <v>334.18999999999994</v>
      </c>
      <c r="M580" s="127">
        <f t="shared" si="104"/>
        <v>0</v>
      </c>
      <c r="N580" s="167">
        <f t="shared" si="105"/>
        <v>0</v>
      </c>
      <c r="O580" s="167">
        <f t="shared" si="106"/>
        <v>0</v>
      </c>
      <c r="P580" s="178" t="s">
        <v>203</v>
      </c>
      <c r="Q580" s="168"/>
      <c r="R580" s="128">
        <v>1</v>
      </c>
      <c r="S580" s="128">
        <v>1</v>
      </c>
      <c r="T580" s="169">
        <v>23</v>
      </c>
      <c r="U580" s="169">
        <v>23</v>
      </c>
      <c r="V580" s="169">
        <v>0</v>
      </c>
      <c r="W580" s="169">
        <v>23</v>
      </c>
      <c r="X580" s="169">
        <f>T580-W580</f>
        <v>0</v>
      </c>
    </row>
    <row r="581" spans="1:24" ht="16.149999999999999" customHeight="1" x14ac:dyDescent="0.2">
      <c r="A581" s="182" t="s">
        <v>1149</v>
      </c>
      <c r="B581" s="177" t="s">
        <v>1363</v>
      </c>
      <c r="C581" s="171"/>
      <c r="D581" s="165"/>
      <c r="E581" s="165"/>
      <c r="F581" s="165"/>
      <c r="G581" s="167">
        <v>0</v>
      </c>
      <c r="H581" s="167">
        <f>627.34-18.31-22.43</f>
        <v>586.60000000000014</v>
      </c>
      <c r="I581" s="167">
        <f t="shared" si="102"/>
        <v>586.60000000000014</v>
      </c>
      <c r="J581" s="167">
        <v>0</v>
      </c>
      <c r="K581" s="167">
        <v>6.03</v>
      </c>
      <c r="L581" s="167">
        <f>J581+K581</f>
        <v>6.03</v>
      </c>
      <c r="M581" s="127">
        <f t="shared" si="104"/>
        <v>0</v>
      </c>
      <c r="N581" s="167">
        <f t="shared" si="105"/>
        <v>580.57000000000016</v>
      </c>
      <c r="O581" s="167">
        <f t="shared" si="106"/>
        <v>580.57000000000016</v>
      </c>
      <c r="P581" s="184" t="s">
        <v>203</v>
      </c>
      <c r="Q581" s="168"/>
      <c r="R581" s="128">
        <v>0</v>
      </c>
      <c r="S581" s="128">
        <v>1</v>
      </c>
      <c r="T581" s="169">
        <v>0</v>
      </c>
      <c r="U581" s="181">
        <v>50464</v>
      </c>
      <c r="V581" s="169">
        <v>0</v>
      </c>
      <c r="W581" s="169">
        <v>0</v>
      </c>
      <c r="X581" s="169">
        <f>T581-W581</f>
        <v>0</v>
      </c>
    </row>
    <row r="582" spans="1:24" ht="16.149999999999999" customHeight="1" x14ac:dyDescent="0.2">
      <c r="A582" s="173" t="s">
        <v>1150</v>
      </c>
      <c r="B582" s="177" t="s">
        <v>1151</v>
      </c>
      <c r="C582" s="171">
        <v>44510</v>
      </c>
      <c r="D582" s="165"/>
      <c r="E582" s="165"/>
      <c r="F582" s="165"/>
      <c r="G582" s="167">
        <v>2408.81</v>
      </c>
      <c r="H582" s="167">
        <v>0</v>
      </c>
      <c r="I582" s="167">
        <f t="shared" si="102"/>
        <v>2408.81</v>
      </c>
      <c r="J582" s="167">
        <f>203.32+53.49+22.66+82+30.32+53.21+21.5+32.44+60.89+58.15+52.74+72.77+4.42+82+64.19+58.72+47.81+92.61+66.51+77.73+40.61+74.72+3.37+65.52+23.59+54.99</f>
        <v>1500.2799999999995</v>
      </c>
      <c r="K582" s="167">
        <v>0</v>
      </c>
      <c r="L582" s="167">
        <f>J582+K582</f>
        <v>1500.2799999999995</v>
      </c>
      <c r="M582" s="127">
        <f t="shared" si="104"/>
        <v>908.53000000000043</v>
      </c>
      <c r="N582" s="167">
        <f t="shared" si="105"/>
        <v>0</v>
      </c>
      <c r="O582" s="167">
        <f t="shared" si="106"/>
        <v>908.53000000000043</v>
      </c>
      <c r="P582" s="167">
        <f>203.32+53.49+22.66+82+30.32+53.21+21.5+32.44+60.89+58.15+52.74+72.77+4.42+82+64.19+58.72+47.81+92.61+66.51+77.73+40.61+74.72+3.37+65.52+23.59+54.99</f>
        <v>1500.2799999999995</v>
      </c>
      <c r="Q582" s="187"/>
      <c r="R582" s="128">
        <v>0.49690000000000001</v>
      </c>
      <c r="S582" s="128">
        <v>0.62939999999999996</v>
      </c>
      <c r="T582" s="174">
        <v>106</v>
      </c>
      <c r="U582" s="174">
        <v>106</v>
      </c>
      <c r="V582" s="174">
        <v>0</v>
      </c>
      <c r="W582" s="174">
        <v>0</v>
      </c>
      <c r="X582" s="169">
        <f>T582-W582</f>
        <v>106</v>
      </c>
    </row>
    <row r="583" spans="1:24" ht="16.149999999999999" customHeight="1" x14ac:dyDescent="0.2">
      <c r="A583" s="228" t="s">
        <v>308</v>
      </c>
      <c r="B583" s="189"/>
      <c r="C583" s="189"/>
      <c r="D583" s="165"/>
      <c r="E583" s="165"/>
      <c r="F583" s="165"/>
      <c r="G583" s="190">
        <f>SUM(G545:G582)</f>
        <v>20526.476018129993</v>
      </c>
      <c r="H583" s="190">
        <f t="shared" ref="H583:P583" si="108">SUM(H545:H582)</f>
        <v>1589.1000000000001</v>
      </c>
      <c r="I583" s="190">
        <f t="shared" si="108"/>
        <v>22115.576018129992</v>
      </c>
      <c r="J583" s="190">
        <f t="shared" si="108"/>
        <v>19168.611079999991</v>
      </c>
      <c r="K583" s="190">
        <f t="shared" si="108"/>
        <v>18.79</v>
      </c>
      <c r="L583" s="190">
        <f t="shared" si="108"/>
        <v>19187.401079999989</v>
      </c>
      <c r="M583" s="190">
        <f t="shared" si="108"/>
        <v>1357.8649381300011</v>
      </c>
      <c r="N583" s="190">
        <f t="shared" si="108"/>
        <v>1570.3100000000002</v>
      </c>
      <c r="O583" s="190">
        <f t="shared" si="108"/>
        <v>2928.1749381300015</v>
      </c>
      <c r="P583" s="190">
        <f t="shared" si="108"/>
        <v>1559.2839999999981</v>
      </c>
      <c r="Q583" s="187"/>
      <c r="R583" s="128"/>
      <c r="S583" s="128"/>
      <c r="T583" s="224">
        <f>SUM(T545:T582)</f>
        <v>1395</v>
      </c>
      <c r="U583" s="224">
        <f>SUM(U545:U582)</f>
        <v>52276</v>
      </c>
      <c r="V583" s="224">
        <f>SUM(V545:V582)</f>
        <v>6</v>
      </c>
      <c r="W583" s="224">
        <f>SUM(W545:W582)</f>
        <v>1277</v>
      </c>
      <c r="X583" s="224">
        <f>SUM(X545:X582)</f>
        <v>118</v>
      </c>
    </row>
    <row r="584" spans="1:24" ht="16.149999999999999" customHeight="1" x14ac:dyDescent="0.2">
      <c r="A584" s="220"/>
      <c r="B584" s="221"/>
      <c r="C584" s="221"/>
      <c r="D584" s="221"/>
      <c r="E584" s="221"/>
      <c r="F584" s="221"/>
      <c r="G584" s="146"/>
      <c r="H584" s="146"/>
      <c r="I584" s="146"/>
      <c r="J584" s="146"/>
      <c r="K584" s="146"/>
      <c r="L584" s="146"/>
      <c r="M584" s="126"/>
      <c r="N584" s="146"/>
      <c r="O584" s="146"/>
      <c r="P584" s="229"/>
      <c r="Q584" s="187"/>
      <c r="R584" s="223"/>
      <c r="S584" s="223"/>
      <c r="T584" s="219"/>
      <c r="U584" s="219"/>
      <c r="V584" s="219"/>
      <c r="W584" s="156"/>
      <c r="X584" s="156"/>
    </row>
    <row r="585" spans="1:24" ht="16.149999999999999" customHeight="1" x14ac:dyDescent="0.2">
      <c r="A585" s="220" t="s">
        <v>39</v>
      </c>
      <c r="B585" s="221"/>
      <c r="C585" s="221"/>
      <c r="D585" s="221"/>
      <c r="E585" s="221"/>
      <c r="F585" s="221"/>
      <c r="G585" s="146"/>
      <c r="H585" s="146"/>
      <c r="I585" s="146"/>
      <c r="J585" s="146"/>
      <c r="K585" s="146"/>
      <c r="L585" s="146"/>
      <c r="M585" s="126"/>
      <c r="N585" s="146"/>
      <c r="O585" s="146"/>
      <c r="P585" s="229"/>
      <c r="Q585" s="187"/>
      <c r="R585" s="223"/>
      <c r="S585" s="223"/>
      <c r="T585" s="219"/>
      <c r="U585" s="219"/>
      <c r="V585" s="219"/>
      <c r="W585" s="156"/>
      <c r="X585" s="156"/>
    </row>
    <row r="586" spans="1:24" ht="16.149999999999999" customHeight="1" x14ac:dyDescent="0.2">
      <c r="A586" s="173" t="s">
        <v>1152</v>
      </c>
      <c r="B586" s="171" t="s">
        <v>1153</v>
      </c>
      <c r="C586" s="171" t="s">
        <v>203</v>
      </c>
      <c r="D586" s="165" t="s">
        <v>203</v>
      </c>
      <c r="E586" s="165" t="s">
        <v>203</v>
      </c>
      <c r="F586" s="165" t="s">
        <v>203</v>
      </c>
      <c r="G586" s="167">
        <f>313.98+156.58+48.96+48.8+38.68</f>
        <v>607</v>
      </c>
      <c r="H586" s="167">
        <v>0</v>
      </c>
      <c r="I586" s="167">
        <f t="shared" ref="I586:I604" si="109">G586+H586</f>
        <v>607</v>
      </c>
      <c r="J586" s="167">
        <v>607</v>
      </c>
      <c r="K586" s="167">
        <v>0</v>
      </c>
      <c r="L586" s="167">
        <f t="shared" ref="L586:L604" si="110">J586+K586</f>
        <v>607</v>
      </c>
      <c r="M586" s="127">
        <f t="shared" ref="M586:M604" si="111">G586-J586</f>
        <v>0</v>
      </c>
      <c r="N586" s="167">
        <f t="shared" ref="N586:N604" si="112">H586-K586</f>
        <v>0</v>
      </c>
      <c r="O586" s="167">
        <f t="shared" ref="O586:O604" si="113">M586+N586</f>
        <v>0</v>
      </c>
      <c r="P586" s="184" t="s">
        <v>203</v>
      </c>
      <c r="Q586" s="187"/>
      <c r="R586" s="128">
        <v>1</v>
      </c>
      <c r="S586" s="128">
        <v>1</v>
      </c>
      <c r="T586" s="174">
        <v>62</v>
      </c>
      <c r="U586" s="174">
        <v>62</v>
      </c>
      <c r="V586" s="174">
        <v>0</v>
      </c>
      <c r="W586" s="169">
        <v>62</v>
      </c>
      <c r="X586" s="169">
        <f t="shared" ref="X586:X604" si="114">T586-W586</f>
        <v>0</v>
      </c>
    </row>
    <row r="587" spans="1:24" ht="16.149999999999999" customHeight="1" x14ac:dyDescent="0.2">
      <c r="A587" s="173" t="s">
        <v>1154</v>
      </c>
      <c r="B587" s="171">
        <v>39800</v>
      </c>
      <c r="C587" s="171" t="s">
        <v>203</v>
      </c>
      <c r="D587" s="165" t="s">
        <v>203</v>
      </c>
      <c r="E587" s="165" t="s">
        <v>203</v>
      </c>
      <c r="F587" s="165" t="s">
        <v>203</v>
      </c>
      <c r="G587" s="167">
        <v>64.34</v>
      </c>
      <c r="H587" s="167">
        <v>0</v>
      </c>
      <c r="I587" s="167">
        <f t="shared" si="109"/>
        <v>64.34</v>
      </c>
      <c r="J587" s="167">
        <v>64.34</v>
      </c>
      <c r="K587" s="167">
        <v>0</v>
      </c>
      <c r="L587" s="167">
        <f t="shared" si="110"/>
        <v>64.34</v>
      </c>
      <c r="M587" s="127">
        <f t="shared" si="111"/>
        <v>0</v>
      </c>
      <c r="N587" s="167">
        <f t="shared" si="112"/>
        <v>0</v>
      </c>
      <c r="O587" s="167">
        <f t="shared" si="113"/>
        <v>0</v>
      </c>
      <c r="P587" s="184" t="s">
        <v>203</v>
      </c>
      <c r="Q587" s="187"/>
      <c r="R587" s="128">
        <v>1</v>
      </c>
      <c r="S587" s="128">
        <v>1</v>
      </c>
      <c r="T587" s="174">
        <v>8</v>
      </c>
      <c r="U587" s="174">
        <v>8</v>
      </c>
      <c r="V587" s="174">
        <v>0</v>
      </c>
      <c r="W587" s="169">
        <v>8</v>
      </c>
      <c r="X587" s="169">
        <f t="shared" si="114"/>
        <v>0</v>
      </c>
    </row>
    <row r="588" spans="1:24" ht="16.149999999999999" customHeight="1" x14ac:dyDescent="0.2">
      <c r="A588" s="173" t="s">
        <v>1155</v>
      </c>
      <c r="B588" s="171">
        <v>39883</v>
      </c>
      <c r="C588" s="171" t="s">
        <v>203</v>
      </c>
      <c r="D588" s="165" t="s">
        <v>203</v>
      </c>
      <c r="E588" s="165" t="s">
        <v>203</v>
      </c>
      <c r="F588" s="165" t="s">
        <v>203</v>
      </c>
      <c r="G588" s="167">
        <v>60.88</v>
      </c>
      <c r="H588" s="167">
        <v>0</v>
      </c>
      <c r="I588" s="167">
        <f t="shared" si="109"/>
        <v>60.88</v>
      </c>
      <c r="J588" s="167">
        <v>60.88</v>
      </c>
      <c r="K588" s="167">
        <v>0</v>
      </c>
      <c r="L588" s="167">
        <f t="shared" si="110"/>
        <v>60.88</v>
      </c>
      <c r="M588" s="127">
        <f t="shared" si="111"/>
        <v>0</v>
      </c>
      <c r="N588" s="167">
        <f t="shared" si="112"/>
        <v>0</v>
      </c>
      <c r="O588" s="167">
        <f t="shared" si="113"/>
        <v>0</v>
      </c>
      <c r="P588" s="184" t="s">
        <v>203</v>
      </c>
      <c r="Q588" s="187"/>
      <c r="R588" s="128">
        <v>1</v>
      </c>
      <c r="S588" s="128">
        <v>1</v>
      </c>
      <c r="T588" s="174">
        <v>8</v>
      </c>
      <c r="U588" s="174">
        <v>8</v>
      </c>
      <c r="V588" s="174">
        <v>0</v>
      </c>
      <c r="W588" s="169">
        <v>8</v>
      </c>
      <c r="X588" s="169">
        <f t="shared" si="114"/>
        <v>0</v>
      </c>
    </row>
    <row r="589" spans="1:24" ht="16.149999999999999" customHeight="1" x14ac:dyDescent="0.2">
      <c r="A589" s="173" t="s">
        <v>1156</v>
      </c>
      <c r="B589" s="171" t="s">
        <v>1157</v>
      </c>
      <c r="C589" s="171" t="s">
        <v>203</v>
      </c>
      <c r="D589" s="165" t="s">
        <v>203</v>
      </c>
      <c r="E589" s="165" t="s">
        <v>203</v>
      </c>
      <c r="F589" s="165" t="s">
        <v>203</v>
      </c>
      <c r="G589" s="167">
        <f>248.92+19.9+10+58.85+346.47+19.83-0.89</f>
        <v>703.08000000000015</v>
      </c>
      <c r="H589" s="167">
        <v>0</v>
      </c>
      <c r="I589" s="167">
        <f t="shared" si="109"/>
        <v>703.08000000000015</v>
      </c>
      <c r="J589" s="167">
        <f>258.03+9.9+10+58.85+326.75+19.83+9.86+9.86</f>
        <v>703.08</v>
      </c>
      <c r="K589" s="167">
        <v>0</v>
      </c>
      <c r="L589" s="167">
        <f t="shared" si="110"/>
        <v>703.08</v>
      </c>
      <c r="M589" s="127">
        <f t="shared" si="111"/>
        <v>0</v>
      </c>
      <c r="N589" s="167">
        <f t="shared" si="112"/>
        <v>0</v>
      </c>
      <c r="O589" s="167">
        <f t="shared" si="113"/>
        <v>0</v>
      </c>
      <c r="P589" s="184" t="s">
        <v>203</v>
      </c>
      <c r="Q589" s="187"/>
      <c r="R589" s="128">
        <v>1</v>
      </c>
      <c r="S589" s="128">
        <v>1</v>
      </c>
      <c r="T589" s="174">
        <f>25+2+1+6+35+2</f>
        <v>71</v>
      </c>
      <c r="U589" s="174">
        <f>25+2+1+6+35+2</f>
        <v>71</v>
      </c>
      <c r="V589" s="174">
        <v>0</v>
      </c>
      <c r="W589" s="169">
        <v>71</v>
      </c>
      <c r="X589" s="169">
        <f t="shared" si="114"/>
        <v>0</v>
      </c>
    </row>
    <row r="590" spans="1:24" ht="16.149999999999999" customHeight="1" x14ac:dyDescent="0.2">
      <c r="A590" s="173" t="s">
        <v>1158</v>
      </c>
      <c r="B590" s="177" t="s">
        <v>1159</v>
      </c>
      <c r="C590" s="171" t="s">
        <v>203</v>
      </c>
      <c r="D590" s="165" t="s">
        <v>203</v>
      </c>
      <c r="E590" s="165" t="s">
        <v>203</v>
      </c>
      <c r="F590" s="165" t="s">
        <v>203</v>
      </c>
      <c r="G590" s="167">
        <f>51.43+94.64+161.72</f>
        <v>307.78999999999996</v>
      </c>
      <c r="H590" s="167">
        <v>0</v>
      </c>
      <c r="I590" s="167">
        <f t="shared" si="109"/>
        <v>307.78999999999996</v>
      </c>
      <c r="J590" s="167">
        <v>307.79000000000002</v>
      </c>
      <c r="K590" s="167">
        <v>0</v>
      </c>
      <c r="L590" s="167">
        <f t="shared" si="110"/>
        <v>307.79000000000002</v>
      </c>
      <c r="M590" s="127">
        <f t="shared" si="111"/>
        <v>0</v>
      </c>
      <c r="N590" s="167">
        <f t="shared" si="112"/>
        <v>0</v>
      </c>
      <c r="O590" s="167">
        <f t="shared" si="113"/>
        <v>0</v>
      </c>
      <c r="P590" s="184" t="s">
        <v>203</v>
      </c>
      <c r="Q590" s="187"/>
      <c r="R590" s="128">
        <v>1</v>
      </c>
      <c r="S590" s="128">
        <v>1</v>
      </c>
      <c r="T590" s="174">
        <f>6+10+17</f>
        <v>33</v>
      </c>
      <c r="U590" s="174">
        <f>6+10+17</f>
        <v>33</v>
      </c>
      <c r="V590" s="174">
        <v>0</v>
      </c>
      <c r="W590" s="169">
        <v>33</v>
      </c>
      <c r="X590" s="169">
        <f t="shared" si="114"/>
        <v>0</v>
      </c>
    </row>
    <row r="591" spans="1:24" ht="16.149999999999999" customHeight="1" x14ac:dyDescent="0.2">
      <c r="A591" s="200" t="s">
        <v>1160</v>
      </c>
      <c r="B591" s="177" t="s">
        <v>1161</v>
      </c>
      <c r="C591" s="171" t="s">
        <v>203</v>
      </c>
      <c r="D591" s="165" t="s">
        <v>203</v>
      </c>
      <c r="E591" s="165" t="s">
        <v>203</v>
      </c>
      <c r="F591" s="165" t="s">
        <v>203</v>
      </c>
      <c r="G591" s="167">
        <f>114.15+18.32</f>
        <v>132.47</v>
      </c>
      <c r="H591" s="167">
        <v>0</v>
      </c>
      <c r="I591" s="167">
        <f t="shared" si="109"/>
        <v>132.47</v>
      </c>
      <c r="J591" s="167">
        <v>132.47</v>
      </c>
      <c r="K591" s="167">
        <v>0</v>
      </c>
      <c r="L591" s="167">
        <f t="shared" si="110"/>
        <v>132.47</v>
      </c>
      <c r="M591" s="127">
        <f t="shared" si="111"/>
        <v>0</v>
      </c>
      <c r="N591" s="167">
        <f t="shared" si="112"/>
        <v>0</v>
      </c>
      <c r="O591" s="167">
        <f t="shared" si="113"/>
        <v>0</v>
      </c>
      <c r="P591" s="184" t="s">
        <v>203</v>
      </c>
      <c r="Q591" s="187"/>
      <c r="R591" s="128">
        <v>1</v>
      </c>
      <c r="S591" s="128">
        <v>1</v>
      </c>
      <c r="T591" s="155">
        <f>12+2</f>
        <v>14</v>
      </c>
      <c r="U591" s="155">
        <f>12+2</f>
        <v>14</v>
      </c>
      <c r="V591" s="174">
        <v>0</v>
      </c>
      <c r="W591" s="169">
        <v>14</v>
      </c>
      <c r="X591" s="169">
        <f t="shared" si="114"/>
        <v>0</v>
      </c>
    </row>
    <row r="592" spans="1:24" ht="16.149999999999999" customHeight="1" x14ac:dyDescent="0.2">
      <c r="A592" s="200" t="s">
        <v>309</v>
      </c>
      <c r="B592" s="171" t="s">
        <v>508</v>
      </c>
      <c r="C592" s="171">
        <v>42830</v>
      </c>
      <c r="D592" s="165" t="s">
        <v>581</v>
      </c>
      <c r="E592" s="165" t="s">
        <v>203</v>
      </c>
      <c r="F592" s="165" t="s">
        <v>581</v>
      </c>
      <c r="G592" s="167">
        <f>380.43-72.74+34.58+13.31</f>
        <v>355.58</v>
      </c>
      <c r="H592" s="167">
        <v>0</v>
      </c>
      <c r="I592" s="167">
        <f t="shared" si="109"/>
        <v>355.58</v>
      </c>
      <c r="J592" s="167">
        <f>53.09+59.42+3.81+18.87+2.44+3.04+3.66+2.79+7.35+2.81+4.1+4.66+4.06+6.89+2.15+2.84+2.08+1.24+4.3+1.03+2.51+0.93+1.45+0.92+1.81+0.54+0.24+0.52+9.91+4.88+2.762+17.83+2.19+4.48+4.14+3.28+7.43+0.49+4.9+6.97+2.25+5.42+11.96+5.2+2.93+3.53+1.71+6.33+6.79+2.85+1.81+0.81+10.42+2.44+3.32</f>
        <v>336.58199999999994</v>
      </c>
      <c r="K592" s="167">
        <v>0</v>
      </c>
      <c r="L592" s="167">
        <f t="shared" si="110"/>
        <v>336.58199999999994</v>
      </c>
      <c r="M592" s="127">
        <f t="shared" si="111"/>
        <v>18.998000000000047</v>
      </c>
      <c r="N592" s="167">
        <f t="shared" si="112"/>
        <v>0</v>
      </c>
      <c r="O592" s="167">
        <f t="shared" si="113"/>
        <v>18.998000000000047</v>
      </c>
      <c r="P592" s="184" t="s">
        <v>203</v>
      </c>
      <c r="Q592" s="187"/>
      <c r="R592" s="128">
        <v>1</v>
      </c>
      <c r="S592" s="128">
        <v>1</v>
      </c>
      <c r="T592" s="174">
        <f>32-14+2</f>
        <v>20</v>
      </c>
      <c r="U592" s="174">
        <f>32-14+2</f>
        <v>20</v>
      </c>
      <c r="V592" s="174">
        <v>0</v>
      </c>
      <c r="W592" s="169">
        <v>20</v>
      </c>
      <c r="X592" s="169">
        <f t="shared" si="114"/>
        <v>0</v>
      </c>
    </row>
    <row r="593" spans="1:24" ht="16.149999999999999" customHeight="1" x14ac:dyDescent="0.2">
      <c r="A593" s="200" t="s">
        <v>40</v>
      </c>
      <c r="B593" s="171">
        <v>40226</v>
      </c>
      <c r="C593" s="171">
        <v>40872</v>
      </c>
      <c r="D593" s="165"/>
      <c r="E593" s="165"/>
      <c r="F593" s="165"/>
      <c r="G593" s="167">
        <v>1803.11</v>
      </c>
      <c r="H593" s="167">
        <v>0</v>
      </c>
      <c r="I593" s="167">
        <f t="shared" si="109"/>
        <v>1803.11</v>
      </c>
      <c r="J593" s="167">
        <f>329.18+200+149.69+644+374.31+30.93+59.68</f>
        <v>1787.7900000000002</v>
      </c>
      <c r="K593" s="167">
        <v>0</v>
      </c>
      <c r="L593" s="167">
        <f t="shared" si="110"/>
        <v>1787.7900000000002</v>
      </c>
      <c r="M593" s="127">
        <f t="shared" si="111"/>
        <v>15.319999999999709</v>
      </c>
      <c r="N593" s="167">
        <f t="shared" si="112"/>
        <v>0</v>
      </c>
      <c r="O593" s="167">
        <f t="shared" si="113"/>
        <v>15.319999999999709</v>
      </c>
      <c r="P593" s="167">
        <f>329.18+200+149.69+644+374.31+30.93-979.64-567.91+59.68-14.2-14.2-28.39-14.2</f>
        <v>169.25000000000023</v>
      </c>
      <c r="Q593" s="187"/>
      <c r="R593" s="128">
        <v>1</v>
      </c>
      <c r="S593" s="128">
        <v>1</v>
      </c>
      <c r="T593" s="174">
        <v>127</v>
      </c>
      <c r="U593" s="174">
        <v>127</v>
      </c>
      <c r="V593" s="174">
        <v>13</v>
      </c>
      <c r="W593" s="169">
        <v>114</v>
      </c>
      <c r="X593" s="169">
        <f t="shared" si="114"/>
        <v>13</v>
      </c>
    </row>
    <row r="594" spans="1:24" ht="16.149999999999999" customHeight="1" x14ac:dyDescent="0.2">
      <c r="A594" s="200" t="s">
        <v>1110</v>
      </c>
      <c r="B594" s="171" t="s">
        <v>1162</v>
      </c>
      <c r="C594" s="171" t="s">
        <v>203</v>
      </c>
      <c r="D594" s="165" t="s">
        <v>203</v>
      </c>
      <c r="E594" s="165" t="s">
        <v>203</v>
      </c>
      <c r="F594" s="165" t="s">
        <v>203</v>
      </c>
      <c r="G594" s="167">
        <f>116.55+53.78</f>
        <v>170.32999999999998</v>
      </c>
      <c r="H594" s="167">
        <v>0</v>
      </c>
      <c r="I594" s="167">
        <f t="shared" si="109"/>
        <v>170.32999999999998</v>
      </c>
      <c r="J594" s="167">
        <v>170.33</v>
      </c>
      <c r="K594" s="167">
        <v>0</v>
      </c>
      <c r="L594" s="167">
        <f t="shared" si="110"/>
        <v>170.33</v>
      </c>
      <c r="M594" s="127">
        <f t="shared" si="111"/>
        <v>0</v>
      </c>
      <c r="N594" s="167">
        <f t="shared" si="112"/>
        <v>0</v>
      </c>
      <c r="O594" s="167">
        <f t="shared" si="113"/>
        <v>0</v>
      </c>
      <c r="P594" s="184" t="s">
        <v>203</v>
      </c>
      <c r="Q594" s="187"/>
      <c r="R594" s="128">
        <v>1</v>
      </c>
      <c r="S594" s="128">
        <v>1</v>
      </c>
      <c r="T594" s="174">
        <f>11+5</f>
        <v>16</v>
      </c>
      <c r="U594" s="174">
        <f>11+5</f>
        <v>16</v>
      </c>
      <c r="V594" s="174">
        <v>0</v>
      </c>
      <c r="W594" s="169">
        <v>16</v>
      </c>
      <c r="X594" s="169">
        <f t="shared" si="114"/>
        <v>0</v>
      </c>
    </row>
    <row r="595" spans="1:24" ht="16.149999999999999" customHeight="1" x14ac:dyDescent="0.2">
      <c r="A595" s="200" t="s">
        <v>1163</v>
      </c>
      <c r="B595" s="177" t="s">
        <v>1164</v>
      </c>
      <c r="C595" s="171" t="s">
        <v>203</v>
      </c>
      <c r="D595" s="165" t="s">
        <v>203</v>
      </c>
      <c r="E595" s="165" t="s">
        <v>203</v>
      </c>
      <c r="F595" s="165" t="s">
        <v>203</v>
      </c>
      <c r="G595" s="167">
        <f>260.47+124.06+164.07+20.1</f>
        <v>568.70000000000005</v>
      </c>
      <c r="H595" s="167">
        <v>0</v>
      </c>
      <c r="I595" s="167">
        <f t="shared" si="109"/>
        <v>568.70000000000005</v>
      </c>
      <c r="J595" s="167">
        <f>248.49+99.17+37.36+50.86+51.03+12.88+12.17+11.71+19.09</f>
        <v>542.7600000000001</v>
      </c>
      <c r="K595" s="167">
        <v>0</v>
      </c>
      <c r="L595" s="167">
        <f t="shared" si="110"/>
        <v>542.7600000000001</v>
      </c>
      <c r="M595" s="127">
        <f t="shared" si="111"/>
        <v>25.939999999999941</v>
      </c>
      <c r="N595" s="167">
        <f t="shared" si="112"/>
        <v>0</v>
      </c>
      <c r="O595" s="167">
        <f t="shared" si="113"/>
        <v>25.939999999999941</v>
      </c>
      <c r="P595" s="184" t="s">
        <v>203</v>
      </c>
      <c r="Q595" s="187"/>
      <c r="R595" s="128">
        <v>1</v>
      </c>
      <c r="S595" s="128">
        <v>1</v>
      </c>
      <c r="T595" s="174">
        <f>21+10+13</f>
        <v>44</v>
      </c>
      <c r="U595" s="174">
        <f>21+10+13</f>
        <v>44</v>
      </c>
      <c r="V595" s="174">
        <v>2</v>
      </c>
      <c r="W595" s="169">
        <v>42</v>
      </c>
      <c r="X595" s="169">
        <f t="shared" si="114"/>
        <v>2</v>
      </c>
    </row>
    <row r="596" spans="1:24" ht="16.149999999999999" customHeight="1" x14ac:dyDescent="0.2">
      <c r="A596" s="200" t="s">
        <v>657</v>
      </c>
      <c r="B596" s="177" t="s">
        <v>1165</v>
      </c>
      <c r="C596" s="171" t="s">
        <v>203</v>
      </c>
      <c r="D596" s="165" t="s">
        <v>203</v>
      </c>
      <c r="E596" s="165" t="s">
        <v>203</v>
      </c>
      <c r="F596" s="165" t="s">
        <v>203</v>
      </c>
      <c r="G596" s="167">
        <f>254.67-3.69</f>
        <v>250.98</v>
      </c>
      <c r="H596" s="167">
        <v>0</v>
      </c>
      <c r="I596" s="167">
        <f t="shared" si="109"/>
        <v>250.98</v>
      </c>
      <c r="J596" s="167">
        <f>12.03+96.22+12.02+12.11+36.83+12.02+36.77+15.78+17.2</f>
        <v>250.98</v>
      </c>
      <c r="K596" s="167">
        <v>0</v>
      </c>
      <c r="L596" s="167">
        <f t="shared" si="110"/>
        <v>250.98</v>
      </c>
      <c r="M596" s="127">
        <f t="shared" si="111"/>
        <v>0</v>
      </c>
      <c r="N596" s="167">
        <f t="shared" si="112"/>
        <v>0</v>
      </c>
      <c r="O596" s="167">
        <f t="shared" si="113"/>
        <v>0</v>
      </c>
      <c r="P596" s="184" t="s">
        <v>203</v>
      </c>
      <c r="Q596" s="187"/>
      <c r="R596" s="128">
        <v>1</v>
      </c>
      <c r="S596" s="128">
        <v>1</v>
      </c>
      <c r="T596" s="174">
        <f>12+3+3+1</f>
        <v>19</v>
      </c>
      <c r="U596" s="174">
        <f>12+3+3+1</f>
        <v>19</v>
      </c>
      <c r="V596" s="174">
        <v>0</v>
      </c>
      <c r="W596" s="169">
        <v>19</v>
      </c>
      <c r="X596" s="169">
        <f t="shared" si="114"/>
        <v>0</v>
      </c>
    </row>
    <row r="597" spans="1:24" ht="16.149999999999999" customHeight="1" x14ac:dyDescent="0.2">
      <c r="A597" s="200" t="s">
        <v>640</v>
      </c>
      <c r="B597" s="177" t="s">
        <v>1166</v>
      </c>
      <c r="C597" s="171" t="s">
        <v>203</v>
      </c>
      <c r="D597" s="165" t="s">
        <v>203</v>
      </c>
      <c r="E597" s="165" t="s">
        <v>203</v>
      </c>
      <c r="F597" s="165" t="s">
        <v>203</v>
      </c>
      <c r="G597" s="167">
        <f>241.56+111.61+107.31+24.17+230.84+12.41+308.94+88.51+12.63+244.33+13.43-16.39</f>
        <v>1379.35</v>
      </c>
      <c r="H597" s="167">
        <v>0</v>
      </c>
      <c r="I597" s="167">
        <f t="shared" si="109"/>
        <v>1379.35</v>
      </c>
      <c r="J597" s="167">
        <f>702.73+12.41+12.41+301.22+73.36+12.91+12.32+53.05+185.68+13.26</f>
        <v>1379.35</v>
      </c>
      <c r="K597" s="167">
        <v>0</v>
      </c>
      <c r="L597" s="167">
        <f t="shared" si="110"/>
        <v>1379.35</v>
      </c>
      <c r="M597" s="127">
        <f t="shared" si="111"/>
        <v>0</v>
      </c>
      <c r="N597" s="167">
        <f t="shared" si="112"/>
        <v>0</v>
      </c>
      <c r="O597" s="167">
        <f t="shared" si="113"/>
        <v>0</v>
      </c>
      <c r="P597" s="184" t="s">
        <v>203</v>
      </c>
      <c r="Q597" s="187"/>
      <c r="R597" s="128">
        <v>1</v>
      </c>
      <c r="S597" s="128">
        <v>1</v>
      </c>
      <c r="T597" s="174">
        <f>20+9+9+2+19+1+24+7+1+18</f>
        <v>110</v>
      </c>
      <c r="U597" s="174">
        <f>20+9+9+2+19+1+24+7+1+18+1</f>
        <v>111</v>
      </c>
      <c r="V597" s="174">
        <v>0</v>
      </c>
      <c r="W597" s="169">
        <v>111</v>
      </c>
      <c r="X597" s="169">
        <f t="shared" si="114"/>
        <v>-1</v>
      </c>
    </row>
    <row r="598" spans="1:24" ht="16.149999999999999" customHeight="1" x14ac:dyDescent="0.2">
      <c r="A598" s="200" t="s">
        <v>1167</v>
      </c>
      <c r="B598" s="177">
        <v>40371</v>
      </c>
      <c r="C598" s="171" t="s">
        <v>203</v>
      </c>
      <c r="D598" s="165" t="s">
        <v>203</v>
      </c>
      <c r="E598" s="165" t="s">
        <v>203</v>
      </c>
      <c r="F598" s="165" t="s">
        <v>203</v>
      </c>
      <c r="G598" s="167">
        <v>280.29000000000002</v>
      </c>
      <c r="H598" s="167">
        <v>0</v>
      </c>
      <c r="I598" s="167">
        <f t="shared" si="109"/>
        <v>280.29000000000002</v>
      </c>
      <c r="J598" s="167">
        <f>261.94+18.35</f>
        <v>280.29000000000002</v>
      </c>
      <c r="K598" s="167">
        <v>0</v>
      </c>
      <c r="L598" s="167">
        <f t="shared" si="110"/>
        <v>280.29000000000002</v>
      </c>
      <c r="M598" s="127">
        <f t="shared" si="111"/>
        <v>0</v>
      </c>
      <c r="N598" s="167">
        <f t="shared" si="112"/>
        <v>0</v>
      </c>
      <c r="O598" s="167">
        <f t="shared" si="113"/>
        <v>0</v>
      </c>
      <c r="P598" s="184" t="s">
        <v>203</v>
      </c>
      <c r="Q598" s="187"/>
      <c r="R598" s="128">
        <v>1</v>
      </c>
      <c r="S598" s="128">
        <v>1</v>
      </c>
      <c r="T598" s="174">
        <v>28</v>
      </c>
      <c r="U598" s="174">
        <v>28</v>
      </c>
      <c r="V598" s="174">
        <v>0</v>
      </c>
      <c r="W598" s="169">
        <v>28</v>
      </c>
      <c r="X598" s="169">
        <f t="shared" si="114"/>
        <v>0</v>
      </c>
    </row>
    <row r="599" spans="1:24" ht="16.149999999999999" customHeight="1" x14ac:dyDescent="0.2">
      <c r="A599" s="200" t="s">
        <v>1168</v>
      </c>
      <c r="B599" s="177">
        <v>40378</v>
      </c>
      <c r="C599" s="171">
        <v>40539</v>
      </c>
      <c r="D599" s="165"/>
      <c r="E599" s="165"/>
      <c r="F599" s="165"/>
      <c r="G599" s="167">
        <v>182.03</v>
      </c>
      <c r="H599" s="167">
        <v>0</v>
      </c>
      <c r="I599" s="167">
        <f t="shared" si="109"/>
        <v>182.03</v>
      </c>
      <c r="J599" s="167">
        <v>182.03</v>
      </c>
      <c r="K599" s="167">
        <v>0</v>
      </c>
      <c r="L599" s="167">
        <f t="shared" si="110"/>
        <v>182.03</v>
      </c>
      <c r="M599" s="127">
        <f t="shared" si="111"/>
        <v>0</v>
      </c>
      <c r="N599" s="167">
        <f t="shared" si="112"/>
        <v>0</v>
      </c>
      <c r="O599" s="167">
        <f t="shared" si="113"/>
        <v>0</v>
      </c>
      <c r="P599" s="184" t="s">
        <v>203</v>
      </c>
      <c r="Q599" s="187"/>
      <c r="R599" s="128">
        <v>1</v>
      </c>
      <c r="S599" s="128">
        <v>1</v>
      </c>
      <c r="T599" s="174">
        <v>19</v>
      </c>
      <c r="U599" s="174">
        <v>19</v>
      </c>
      <c r="V599" s="174">
        <v>0</v>
      </c>
      <c r="W599" s="169">
        <v>19</v>
      </c>
      <c r="X599" s="169">
        <f t="shared" si="114"/>
        <v>0</v>
      </c>
    </row>
    <row r="600" spans="1:24" ht="16.149999999999999" customHeight="1" x14ac:dyDescent="0.2">
      <c r="A600" s="173" t="s">
        <v>1169</v>
      </c>
      <c r="B600" s="171" t="s">
        <v>1170</v>
      </c>
      <c r="C600" s="171" t="s">
        <v>203</v>
      </c>
      <c r="D600" s="165" t="s">
        <v>203</v>
      </c>
      <c r="E600" s="165" t="s">
        <v>203</v>
      </c>
      <c r="F600" s="165" t="s">
        <v>203</v>
      </c>
      <c r="G600" s="167">
        <f>129.36+227.53+225.16-14.91</f>
        <v>567.14</v>
      </c>
      <c r="H600" s="167">
        <v>0</v>
      </c>
      <c r="I600" s="167">
        <f t="shared" si="109"/>
        <v>567.14</v>
      </c>
      <c r="J600" s="167">
        <f>126.02+210.09+11.65+219.38</f>
        <v>567.14</v>
      </c>
      <c r="K600" s="167">
        <v>0</v>
      </c>
      <c r="L600" s="167">
        <f t="shared" si="110"/>
        <v>567.14</v>
      </c>
      <c r="M600" s="127">
        <f t="shared" si="111"/>
        <v>0</v>
      </c>
      <c r="N600" s="167">
        <f t="shared" si="112"/>
        <v>0</v>
      </c>
      <c r="O600" s="167">
        <f t="shared" si="113"/>
        <v>0</v>
      </c>
      <c r="P600" s="184" t="s">
        <v>203</v>
      </c>
      <c r="Q600" s="187"/>
      <c r="R600" s="128">
        <v>1</v>
      </c>
      <c r="S600" s="128">
        <v>1</v>
      </c>
      <c r="T600" s="174">
        <f>11+19+19</f>
        <v>49</v>
      </c>
      <c r="U600" s="174">
        <f>11+19+19</f>
        <v>49</v>
      </c>
      <c r="V600" s="174">
        <v>0</v>
      </c>
      <c r="W600" s="169">
        <v>49</v>
      </c>
      <c r="X600" s="169">
        <f t="shared" si="114"/>
        <v>0</v>
      </c>
    </row>
    <row r="601" spans="1:24" ht="16.149999999999999" customHeight="1" x14ac:dyDescent="0.2">
      <c r="A601" s="173" t="s">
        <v>237</v>
      </c>
      <c r="B601" s="171">
        <v>40686</v>
      </c>
      <c r="C601" s="171">
        <v>40877</v>
      </c>
      <c r="D601" s="165"/>
      <c r="E601" s="165"/>
      <c r="F601" s="165"/>
      <c r="G601" s="167">
        <v>452.33</v>
      </c>
      <c r="H601" s="167">
        <v>0</v>
      </c>
      <c r="I601" s="167">
        <f t="shared" si="109"/>
        <v>452.33</v>
      </c>
      <c r="J601" s="167">
        <f>188.61+12.31+13.99+20.76+13.49+14.18+27.1+13.47+27.51+13.65</f>
        <v>345.07000000000005</v>
      </c>
      <c r="K601" s="167">
        <v>0</v>
      </c>
      <c r="L601" s="167">
        <f t="shared" si="110"/>
        <v>345.07000000000005</v>
      </c>
      <c r="M601" s="127">
        <f t="shared" si="111"/>
        <v>107.25999999999993</v>
      </c>
      <c r="N601" s="167">
        <f t="shared" si="112"/>
        <v>0</v>
      </c>
      <c r="O601" s="167">
        <f t="shared" si="113"/>
        <v>107.25999999999993</v>
      </c>
      <c r="P601" s="184" t="s">
        <v>203</v>
      </c>
      <c r="Q601" s="187"/>
      <c r="R601" s="128">
        <v>1</v>
      </c>
      <c r="S601" s="128">
        <v>0.3</v>
      </c>
      <c r="T601" s="174">
        <v>32</v>
      </c>
      <c r="U601" s="174">
        <v>32</v>
      </c>
      <c r="V601" s="174">
        <v>1</v>
      </c>
      <c r="W601" s="169">
        <v>25</v>
      </c>
      <c r="X601" s="169">
        <f t="shared" si="114"/>
        <v>7</v>
      </c>
    </row>
    <row r="602" spans="1:24" ht="16.149999999999999" customHeight="1" x14ac:dyDescent="0.2">
      <c r="A602" s="173" t="s">
        <v>1171</v>
      </c>
      <c r="B602" s="171" t="s">
        <v>1172</v>
      </c>
      <c r="C602" s="171" t="s">
        <v>203</v>
      </c>
      <c r="D602" s="165" t="s">
        <v>203</v>
      </c>
      <c r="E602" s="165" t="s">
        <v>203</v>
      </c>
      <c r="F602" s="165" t="s">
        <v>203</v>
      </c>
      <c r="G602" s="167">
        <f>363.61+16.93-5.76</f>
        <v>374.78000000000003</v>
      </c>
      <c r="H602" s="167">
        <v>0</v>
      </c>
      <c r="I602" s="167">
        <f t="shared" si="109"/>
        <v>374.78000000000003</v>
      </c>
      <c r="J602" s="167">
        <f>170.17+187.68+16.93</f>
        <v>374.78000000000003</v>
      </c>
      <c r="K602" s="167">
        <v>0</v>
      </c>
      <c r="L602" s="167">
        <f t="shared" si="110"/>
        <v>374.78000000000003</v>
      </c>
      <c r="M602" s="127">
        <f t="shared" si="111"/>
        <v>0</v>
      </c>
      <c r="N602" s="167">
        <f t="shared" si="112"/>
        <v>0</v>
      </c>
      <c r="O602" s="167">
        <f t="shared" si="113"/>
        <v>0</v>
      </c>
      <c r="P602" s="184" t="s">
        <v>203</v>
      </c>
      <c r="Q602" s="187"/>
      <c r="R602" s="128">
        <v>1</v>
      </c>
      <c r="S602" s="128">
        <v>1</v>
      </c>
      <c r="T602" s="174">
        <f>21+1</f>
        <v>22</v>
      </c>
      <c r="U602" s="174">
        <f>21+1</f>
        <v>22</v>
      </c>
      <c r="V602" s="174">
        <v>0</v>
      </c>
      <c r="W602" s="169">
        <v>22</v>
      </c>
      <c r="X602" s="169">
        <f t="shared" si="114"/>
        <v>0</v>
      </c>
    </row>
    <row r="603" spans="1:24" ht="16.149999999999999" customHeight="1" x14ac:dyDescent="0.2">
      <c r="A603" s="200" t="s">
        <v>355</v>
      </c>
      <c r="B603" s="171" t="s">
        <v>1364</v>
      </c>
      <c r="C603" s="171">
        <v>42513</v>
      </c>
      <c r="D603" s="165" t="s">
        <v>441</v>
      </c>
      <c r="E603" s="165" t="s">
        <v>1173</v>
      </c>
      <c r="F603" s="165" t="s">
        <v>1174</v>
      </c>
      <c r="G603" s="167">
        <f>1421.46+79.6+13.7+18.94+10.82+5.07580747</f>
        <v>1549.59580747</v>
      </c>
      <c r="H603" s="167">
        <v>0</v>
      </c>
      <c r="I603" s="167">
        <f t="shared" si="109"/>
        <v>1549.59580747</v>
      </c>
      <c r="J603" s="167">
        <f>984.32+49.08+64.27+41.84+47.51+23.09+66.5+6.32+79.6+10.71+13.01+29.21+2.37+1.56+11.63+22.32+7.25+2.53+8.84+4.37</f>
        <v>1476.3299999999995</v>
      </c>
      <c r="K603" s="167">
        <v>0</v>
      </c>
      <c r="L603" s="167">
        <f t="shared" si="110"/>
        <v>1476.3299999999995</v>
      </c>
      <c r="M603" s="127">
        <f t="shared" si="111"/>
        <v>73.265807470000482</v>
      </c>
      <c r="N603" s="167">
        <f t="shared" si="112"/>
        <v>0</v>
      </c>
      <c r="O603" s="167">
        <f t="shared" si="113"/>
        <v>73.265807470000482</v>
      </c>
      <c r="P603" s="167">
        <f>984.32+49.08+64.27+41.84+47.51+23.09+66.5+6.32+79.6+10.71+13.01+29.21+2.37+1.56+11.63-1092.55-57.47+22.32-28.29-24.82-24.51-23.29-28.67-53.04+7.25-96.51+2.53+8.84-42.81+4.37</f>
        <v>4.3699999999997869</v>
      </c>
      <c r="Q603" s="187"/>
      <c r="R603" s="128">
        <v>0.97</v>
      </c>
      <c r="S603" s="128">
        <v>1</v>
      </c>
      <c r="T603" s="174">
        <v>54</v>
      </c>
      <c r="U603" s="174">
        <v>54</v>
      </c>
      <c r="V603" s="174">
        <v>0</v>
      </c>
      <c r="W603" s="169">
        <v>54</v>
      </c>
      <c r="X603" s="169">
        <f t="shared" si="114"/>
        <v>0</v>
      </c>
    </row>
    <row r="604" spans="1:24" ht="16.149999999999999" customHeight="1" x14ac:dyDescent="0.2">
      <c r="A604" s="182" t="s">
        <v>1175</v>
      </c>
      <c r="B604" s="171" t="s">
        <v>1176</v>
      </c>
      <c r="C604" s="171"/>
      <c r="D604" s="165"/>
      <c r="E604" s="165"/>
      <c r="F604" s="165"/>
      <c r="G604" s="167">
        <f>332.49+15.68+13.69-9</f>
        <v>352.86</v>
      </c>
      <c r="H604" s="167">
        <v>0</v>
      </c>
      <c r="I604" s="167">
        <f t="shared" si="109"/>
        <v>352.86</v>
      </c>
      <c r="J604" s="167">
        <f>295.44+15.3+15.38+13.32+13.42</f>
        <v>352.86</v>
      </c>
      <c r="K604" s="167">
        <v>0</v>
      </c>
      <c r="L604" s="167">
        <f t="shared" si="110"/>
        <v>352.86</v>
      </c>
      <c r="M604" s="127">
        <f t="shared" si="111"/>
        <v>0</v>
      </c>
      <c r="N604" s="167">
        <f t="shared" si="112"/>
        <v>0</v>
      </c>
      <c r="O604" s="167">
        <f t="shared" si="113"/>
        <v>0</v>
      </c>
      <c r="P604" s="184" t="s">
        <v>203</v>
      </c>
      <c r="Q604" s="187"/>
      <c r="R604" s="128">
        <v>1</v>
      </c>
      <c r="S604" s="128">
        <v>1</v>
      </c>
      <c r="T604" s="174">
        <f>23+1+1</f>
        <v>25</v>
      </c>
      <c r="U604" s="174">
        <f>23+1+1</f>
        <v>25</v>
      </c>
      <c r="V604" s="174">
        <v>0</v>
      </c>
      <c r="W604" s="169">
        <v>25</v>
      </c>
      <c r="X604" s="169">
        <f t="shared" si="114"/>
        <v>0</v>
      </c>
    </row>
    <row r="605" spans="1:24" ht="16.149999999999999" customHeight="1" x14ac:dyDescent="0.2">
      <c r="A605" s="189" t="s">
        <v>54</v>
      </c>
      <c r="B605" s="189"/>
      <c r="C605" s="189"/>
      <c r="D605" s="189"/>
      <c r="E605" s="189"/>
      <c r="F605" s="189"/>
      <c r="G605" s="190">
        <f t="shared" ref="G605:P605" si="115">SUM(G586:G604)</f>
        <v>10162.635807469998</v>
      </c>
      <c r="H605" s="190">
        <f t="shared" si="115"/>
        <v>0</v>
      </c>
      <c r="I605" s="190">
        <f t="shared" si="115"/>
        <v>10162.635807469998</v>
      </c>
      <c r="J605" s="190">
        <f t="shared" si="115"/>
        <v>9921.8520000000008</v>
      </c>
      <c r="K605" s="190">
        <f t="shared" si="115"/>
        <v>0</v>
      </c>
      <c r="L605" s="190">
        <f t="shared" si="115"/>
        <v>9921.8520000000008</v>
      </c>
      <c r="M605" s="136">
        <f t="shared" si="115"/>
        <v>240.78380747000011</v>
      </c>
      <c r="N605" s="190">
        <f t="shared" si="115"/>
        <v>0</v>
      </c>
      <c r="O605" s="190">
        <f t="shared" si="115"/>
        <v>240.78380747000011</v>
      </c>
      <c r="P605" s="190">
        <f t="shared" si="115"/>
        <v>173.62</v>
      </c>
      <c r="Q605" s="187"/>
      <c r="R605" s="128"/>
      <c r="S605" s="128"/>
      <c r="T605" s="224">
        <f>SUM(T586:T604)</f>
        <v>761</v>
      </c>
      <c r="U605" s="224">
        <f>SUM(U586:U604)</f>
        <v>762</v>
      </c>
      <c r="V605" s="224">
        <f>SUM(V586:V604)</f>
        <v>16</v>
      </c>
      <c r="W605" s="224">
        <f>SUM(W586:W604)</f>
        <v>740</v>
      </c>
      <c r="X605" s="224">
        <f>SUM(X586:X604)</f>
        <v>21</v>
      </c>
    </row>
    <row r="606" spans="1:24" ht="16.149999999999999" customHeight="1" x14ac:dyDescent="0.2">
      <c r="A606" s="220"/>
      <c r="B606" s="221"/>
      <c r="C606" s="221"/>
      <c r="D606" s="221"/>
      <c r="E606" s="221"/>
      <c r="F606" s="221"/>
      <c r="G606" s="187"/>
      <c r="H606" s="146"/>
      <c r="I606" s="187"/>
      <c r="J606" s="146"/>
      <c r="K606" s="146"/>
      <c r="L606" s="146"/>
      <c r="M606" s="126"/>
      <c r="N606" s="146"/>
      <c r="O606" s="146"/>
      <c r="P606" s="229"/>
      <c r="Q606" s="187"/>
      <c r="R606" s="223"/>
      <c r="S606" s="223"/>
      <c r="T606" s="219"/>
      <c r="U606" s="219"/>
      <c r="V606" s="219"/>
      <c r="W606" s="156"/>
      <c r="X606" s="156"/>
    </row>
    <row r="607" spans="1:24" ht="16.149999999999999" customHeight="1" x14ac:dyDescent="0.2">
      <c r="A607" s="220" t="s">
        <v>55</v>
      </c>
      <c r="B607" s="221"/>
      <c r="C607" s="221"/>
      <c r="D607" s="221"/>
      <c r="E607" s="221"/>
      <c r="F607" s="221"/>
      <c r="G607" s="146"/>
      <c r="H607" s="146"/>
      <c r="I607" s="146"/>
      <c r="J607" s="146"/>
      <c r="K607" s="146"/>
      <c r="L607" s="146"/>
      <c r="M607" s="126"/>
      <c r="N607" s="146"/>
      <c r="O607" s="146"/>
      <c r="P607" s="229"/>
      <c r="Q607" s="187"/>
      <c r="R607" s="223"/>
      <c r="S607" s="223"/>
      <c r="T607" s="219"/>
      <c r="U607" s="219"/>
      <c r="V607" s="219"/>
      <c r="W607" s="156"/>
      <c r="X607" s="156"/>
    </row>
    <row r="608" spans="1:24" ht="16.149999999999999" customHeight="1" x14ac:dyDescent="0.2">
      <c r="A608" s="173" t="s">
        <v>1004</v>
      </c>
      <c r="B608" s="171">
        <v>39785</v>
      </c>
      <c r="C608" s="171" t="s">
        <v>203</v>
      </c>
      <c r="D608" s="165" t="s">
        <v>203</v>
      </c>
      <c r="E608" s="165" t="s">
        <v>203</v>
      </c>
      <c r="F608" s="165" t="s">
        <v>203</v>
      </c>
      <c r="G608" s="167">
        <v>40.67</v>
      </c>
      <c r="H608" s="167">
        <v>0</v>
      </c>
      <c r="I608" s="167">
        <f>G608+H608</f>
        <v>40.67</v>
      </c>
      <c r="J608" s="167">
        <v>40.67</v>
      </c>
      <c r="K608" s="167">
        <v>0</v>
      </c>
      <c r="L608" s="167">
        <f>J608+K608</f>
        <v>40.67</v>
      </c>
      <c r="M608" s="127">
        <f>G608-J608</f>
        <v>0</v>
      </c>
      <c r="N608" s="167">
        <f>H608-K608</f>
        <v>0</v>
      </c>
      <c r="O608" s="167">
        <f>M608+N608</f>
        <v>0</v>
      </c>
      <c r="P608" s="184" t="s">
        <v>203</v>
      </c>
      <c r="Q608" s="187"/>
      <c r="R608" s="128">
        <v>1</v>
      </c>
      <c r="S608" s="128">
        <v>1</v>
      </c>
      <c r="T608" s="174">
        <v>4</v>
      </c>
      <c r="U608" s="174">
        <v>4</v>
      </c>
      <c r="V608" s="174">
        <v>0</v>
      </c>
      <c r="W608" s="169">
        <v>4</v>
      </c>
      <c r="X608" s="169">
        <f>T608-W608</f>
        <v>0</v>
      </c>
    </row>
    <row r="609" spans="1:24" ht="16.149999999999999" customHeight="1" x14ac:dyDescent="0.2">
      <c r="A609" s="173" t="s">
        <v>61</v>
      </c>
      <c r="B609" s="171">
        <v>39846</v>
      </c>
      <c r="C609" s="171" t="s">
        <v>203</v>
      </c>
      <c r="D609" s="165" t="s">
        <v>203</v>
      </c>
      <c r="E609" s="165" t="s">
        <v>203</v>
      </c>
      <c r="F609" s="165" t="s">
        <v>203</v>
      </c>
      <c r="G609" s="167">
        <f>887.11</f>
        <v>887.11</v>
      </c>
      <c r="H609" s="167">
        <v>0</v>
      </c>
      <c r="I609" s="167">
        <f>G609+H609</f>
        <v>887.11</v>
      </c>
      <c r="J609" s="167">
        <v>531.52</v>
      </c>
      <c r="K609" s="167">
        <v>0</v>
      </c>
      <c r="L609" s="167">
        <f>J609+K609</f>
        <v>531.52</v>
      </c>
      <c r="M609" s="127">
        <f>G609-J609</f>
        <v>355.59000000000003</v>
      </c>
      <c r="N609" s="167">
        <f>H609-K609</f>
        <v>0</v>
      </c>
      <c r="O609" s="167">
        <f>M609+N609</f>
        <v>355.59000000000003</v>
      </c>
      <c r="P609" s="184" t="s">
        <v>203</v>
      </c>
      <c r="Q609" s="187"/>
      <c r="R609" s="128">
        <v>0.7</v>
      </c>
      <c r="S609" s="128">
        <v>0.7</v>
      </c>
      <c r="T609" s="174">
        <v>90</v>
      </c>
      <c r="U609" s="174">
        <v>90</v>
      </c>
      <c r="V609" s="174">
        <v>3</v>
      </c>
      <c r="W609" s="169">
        <v>64</v>
      </c>
      <c r="X609" s="169">
        <f>T609-W609</f>
        <v>26</v>
      </c>
    </row>
    <row r="610" spans="1:24" ht="16.149999999999999" customHeight="1" x14ac:dyDescent="0.2">
      <c r="A610" s="189" t="s">
        <v>56</v>
      </c>
      <c r="B610" s="189"/>
      <c r="C610" s="189"/>
      <c r="D610" s="189"/>
      <c r="E610" s="189"/>
      <c r="F610" s="189"/>
      <c r="G610" s="190">
        <f t="shared" ref="G610:O610" si="116">SUM(G608:G609)</f>
        <v>927.78</v>
      </c>
      <c r="H610" s="190">
        <f t="shared" si="116"/>
        <v>0</v>
      </c>
      <c r="I610" s="190">
        <f t="shared" si="116"/>
        <v>927.78</v>
      </c>
      <c r="J610" s="190">
        <f t="shared" si="116"/>
        <v>572.18999999999994</v>
      </c>
      <c r="K610" s="190">
        <f t="shared" si="116"/>
        <v>0</v>
      </c>
      <c r="L610" s="190">
        <f t="shared" si="116"/>
        <v>572.18999999999994</v>
      </c>
      <c r="M610" s="136">
        <f t="shared" si="116"/>
        <v>355.59000000000003</v>
      </c>
      <c r="N610" s="190">
        <f t="shared" si="116"/>
        <v>0</v>
      </c>
      <c r="O610" s="190">
        <f t="shared" si="116"/>
        <v>355.59000000000003</v>
      </c>
      <c r="P610" s="230"/>
      <c r="Q610" s="187"/>
      <c r="R610" s="128"/>
      <c r="S610" s="128"/>
      <c r="T610" s="224">
        <f>SUM(T608:T609)</f>
        <v>94</v>
      </c>
      <c r="U610" s="224">
        <f>SUM(U608:U609)</f>
        <v>94</v>
      </c>
      <c r="V610" s="224">
        <f>SUM(V608:V609)</f>
        <v>3</v>
      </c>
      <c r="W610" s="224">
        <f>SUM(W608:W609)</f>
        <v>68</v>
      </c>
      <c r="X610" s="224">
        <f>SUM(X608:X609)</f>
        <v>26</v>
      </c>
    </row>
    <row r="611" spans="1:24" ht="16.149999999999999" customHeight="1" x14ac:dyDescent="0.2">
      <c r="A611" s="220"/>
      <c r="B611" s="221"/>
      <c r="C611" s="221"/>
      <c r="D611" s="221"/>
      <c r="E611" s="221"/>
      <c r="F611" s="221"/>
      <c r="G611" s="187"/>
      <c r="H611" s="146"/>
      <c r="I611" s="187"/>
      <c r="J611" s="146"/>
      <c r="K611" s="146"/>
      <c r="L611" s="146"/>
      <c r="M611" s="126"/>
      <c r="N611" s="146"/>
      <c r="O611" s="146"/>
      <c r="P611" s="229"/>
      <c r="Q611" s="187"/>
      <c r="R611" s="223"/>
      <c r="S611" s="223"/>
      <c r="T611" s="219"/>
      <c r="U611" s="219"/>
      <c r="V611" s="219"/>
      <c r="W611" s="156"/>
      <c r="X611" s="156"/>
    </row>
    <row r="612" spans="1:24" ht="16.149999999999999" customHeight="1" x14ac:dyDescent="0.2">
      <c r="A612" s="220" t="s">
        <v>1177</v>
      </c>
      <c r="B612" s="221"/>
      <c r="C612" s="221"/>
      <c r="D612" s="221"/>
      <c r="E612" s="221"/>
      <c r="F612" s="221"/>
      <c r="G612" s="146"/>
      <c r="H612" s="146"/>
      <c r="I612" s="146"/>
      <c r="J612" s="146"/>
      <c r="K612" s="146"/>
      <c r="L612" s="146"/>
      <c r="M612" s="126"/>
      <c r="N612" s="146"/>
      <c r="O612" s="146"/>
      <c r="P612" s="229"/>
      <c r="Q612" s="187"/>
      <c r="R612" s="223"/>
      <c r="S612" s="223"/>
      <c r="T612" s="219"/>
      <c r="U612" s="219"/>
      <c r="V612" s="219"/>
      <c r="W612" s="156"/>
      <c r="X612" s="156"/>
    </row>
    <row r="613" spans="1:24" ht="16.149999999999999" customHeight="1" x14ac:dyDescent="0.2">
      <c r="A613" s="173" t="s">
        <v>1178</v>
      </c>
      <c r="B613" s="171">
        <v>39790</v>
      </c>
      <c r="C613" s="171" t="s">
        <v>203</v>
      </c>
      <c r="D613" s="165" t="s">
        <v>203</v>
      </c>
      <c r="E613" s="165" t="s">
        <v>203</v>
      </c>
      <c r="F613" s="165" t="s">
        <v>203</v>
      </c>
      <c r="G613" s="167">
        <v>18.149999999999999</v>
      </c>
      <c r="H613" s="167">
        <v>0</v>
      </c>
      <c r="I613" s="167">
        <f>G613+H613</f>
        <v>18.149999999999999</v>
      </c>
      <c r="J613" s="167">
        <v>18.149999999999999</v>
      </c>
      <c r="K613" s="167">
        <v>0</v>
      </c>
      <c r="L613" s="167">
        <f>J613+K613</f>
        <v>18.149999999999999</v>
      </c>
      <c r="M613" s="127">
        <f>G613-J613</f>
        <v>0</v>
      </c>
      <c r="N613" s="167">
        <f>H613-K613</f>
        <v>0</v>
      </c>
      <c r="O613" s="167">
        <f>M613+N613</f>
        <v>0</v>
      </c>
      <c r="P613" s="184" t="s">
        <v>203</v>
      </c>
      <c r="Q613" s="187"/>
      <c r="R613" s="128">
        <v>1</v>
      </c>
      <c r="S613" s="128">
        <v>1</v>
      </c>
      <c r="T613" s="174">
        <v>2</v>
      </c>
      <c r="U613" s="174">
        <v>2</v>
      </c>
      <c r="V613" s="174">
        <v>0</v>
      </c>
      <c r="W613" s="169">
        <v>2</v>
      </c>
      <c r="X613" s="169">
        <f>T613-W613</f>
        <v>0</v>
      </c>
    </row>
    <row r="614" spans="1:24" ht="16.149999999999999" customHeight="1" x14ac:dyDescent="0.2">
      <c r="A614" s="173" t="s">
        <v>965</v>
      </c>
      <c r="B614" s="171" t="s">
        <v>1179</v>
      </c>
      <c r="C614" s="171" t="s">
        <v>203</v>
      </c>
      <c r="D614" s="165" t="s">
        <v>203</v>
      </c>
      <c r="E614" s="165" t="s">
        <v>203</v>
      </c>
      <c r="F614" s="165" t="s">
        <v>203</v>
      </c>
      <c r="G614" s="167">
        <f>70.99+11.75+17.79</f>
        <v>100.53</v>
      </c>
      <c r="H614" s="167">
        <v>0</v>
      </c>
      <c r="I614" s="167">
        <f>G614+H614</f>
        <v>100.53</v>
      </c>
      <c r="J614" s="167">
        <f>82.74+17.79</f>
        <v>100.53</v>
      </c>
      <c r="K614" s="167">
        <v>0</v>
      </c>
      <c r="L614" s="167">
        <f>J614+K614</f>
        <v>100.53</v>
      </c>
      <c r="M614" s="127">
        <f>G614-J614</f>
        <v>0</v>
      </c>
      <c r="N614" s="167">
        <f>H614-K614</f>
        <v>0</v>
      </c>
      <c r="O614" s="167">
        <f>M614+N614</f>
        <v>0</v>
      </c>
      <c r="P614" s="184" t="s">
        <v>203</v>
      </c>
      <c r="Q614" s="187"/>
      <c r="R614" s="128">
        <v>1</v>
      </c>
      <c r="S614" s="128">
        <v>1</v>
      </c>
      <c r="T614" s="174">
        <f>8+1+2</f>
        <v>11</v>
      </c>
      <c r="U614" s="174">
        <f>8+1+2</f>
        <v>11</v>
      </c>
      <c r="V614" s="174">
        <v>0</v>
      </c>
      <c r="W614" s="169">
        <v>11</v>
      </c>
      <c r="X614" s="169">
        <f>T614-W614</f>
        <v>0</v>
      </c>
    </row>
    <row r="615" spans="1:24" ht="16.149999999999999" customHeight="1" x14ac:dyDescent="0.2">
      <c r="A615" s="189" t="s">
        <v>1180</v>
      </c>
      <c r="B615" s="189"/>
      <c r="C615" s="189"/>
      <c r="D615" s="189"/>
      <c r="E615" s="189"/>
      <c r="F615" s="189"/>
      <c r="G615" s="190">
        <f t="shared" ref="G615:O615" si="117">SUM(G613:G614)</f>
        <v>118.68</v>
      </c>
      <c r="H615" s="190">
        <f t="shared" si="117"/>
        <v>0</v>
      </c>
      <c r="I615" s="190">
        <f t="shared" si="117"/>
        <v>118.68</v>
      </c>
      <c r="J615" s="190">
        <f t="shared" si="117"/>
        <v>118.68</v>
      </c>
      <c r="K615" s="190">
        <f t="shared" si="117"/>
        <v>0</v>
      </c>
      <c r="L615" s="190">
        <f t="shared" si="117"/>
        <v>118.68</v>
      </c>
      <c r="M615" s="136">
        <f t="shared" si="117"/>
        <v>0</v>
      </c>
      <c r="N615" s="190">
        <f t="shared" si="117"/>
        <v>0</v>
      </c>
      <c r="O615" s="190">
        <f t="shared" si="117"/>
        <v>0</v>
      </c>
      <c r="P615" s="230"/>
      <c r="Q615" s="187"/>
      <c r="R615" s="128"/>
      <c r="S615" s="128"/>
      <c r="T615" s="224">
        <f>SUM(T613:T614)</f>
        <v>13</v>
      </c>
      <c r="U615" s="224">
        <f>SUM(U613:U614)</f>
        <v>13</v>
      </c>
      <c r="V615" s="224">
        <f>SUM(V613:V614)</f>
        <v>0</v>
      </c>
      <c r="W615" s="224">
        <f>SUM(W613:W614)</f>
        <v>13</v>
      </c>
      <c r="X615" s="224">
        <f>SUM(X613:X614)</f>
        <v>0</v>
      </c>
    </row>
    <row r="616" spans="1:24" ht="16.149999999999999" customHeight="1" x14ac:dyDescent="0.2">
      <c r="A616" s="220"/>
      <c r="B616" s="221"/>
      <c r="C616" s="221"/>
      <c r="D616" s="221"/>
      <c r="E616" s="221"/>
      <c r="F616" s="221"/>
      <c r="G616" s="187"/>
      <c r="H616" s="146"/>
      <c r="I616" s="187"/>
      <c r="J616" s="146"/>
      <c r="K616" s="146"/>
      <c r="L616" s="146"/>
      <c r="M616" s="126"/>
      <c r="N616" s="146"/>
      <c r="O616" s="146"/>
      <c r="P616" s="229"/>
      <c r="Q616" s="187"/>
      <c r="R616" s="223"/>
      <c r="S616" s="223"/>
      <c r="T616" s="219"/>
      <c r="U616" s="219"/>
      <c r="V616" s="219"/>
      <c r="W616" s="219"/>
      <c r="X616" s="219"/>
    </row>
    <row r="617" spans="1:24" ht="16.149999999999999" customHeight="1" x14ac:dyDescent="0.2">
      <c r="A617" s="220" t="s">
        <v>1181</v>
      </c>
      <c r="B617" s="221"/>
      <c r="C617" s="221"/>
      <c r="D617" s="221"/>
      <c r="E617" s="221"/>
      <c r="F617" s="221"/>
      <c r="G617" s="146"/>
      <c r="H617" s="146"/>
      <c r="I617" s="146"/>
      <c r="J617" s="146"/>
      <c r="K617" s="146"/>
      <c r="L617" s="146"/>
      <c r="M617" s="146"/>
      <c r="N617" s="146"/>
      <c r="O617" s="146"/>
      <c r="P617" s="229"/>
      <c r="Q617" s="187"/>
      <c r="R617" s="223"/>
      <c r="S617" s="223"/>
      <c r="T617" s="219"/>
      <c r="U617" s="219"/>
      <c r="V617" s="219"/>
      <c r="W617" s="156"/>
      <c r="X617" s="156"/>
    </row>
    <row r="618" spans="1:24" ht="16.149999999999999" customHeight="1" x14ac:dyDescent="0.2">
      <c r="A618" s="173" t="s">
        <v>1182</v>
      </c>
      <c r="B618" s="171">
        <v>41008</v>
      </c>
      <c r="C618" s="171" t="s">
        <v>203</v>
      </c>
      <c r="D618" s="165" t="s">
        <v>203</v>
      </c>
      <c r="E618" s="165" t="s">
        <v>203</v>
      </c>
      <c r="F618" s="165" t="s">
        <v>203</v>
      </c>
      <c r="G618" s="167">
        <f>315.15-13.1</f>
        <v>302.04999999999995</v>
      </c>
      <c r="H618" s="167">
        <v>0</v>
      </c>
      <c r="I618" s="167">
        <f t="shared" ref="I618:I626" si="118">G618+H618</f>
        <v>302.04999999999995</v>
      </c>
      <c r="J618" s="167">
        <v>302.05</v>
      </c>
      <c r="K618" s="167">
        <v>0</v>
      </c>
      <c r="L618" s="167">
        <f t="shared" ref="L618:L626" si="119">J618+K618</f>
        <v>302.05</v>
      </c>
      <c r="M618" s="127">
        <f t="shared" ref="M618:M626" si="120">G618-J618</f>
        <v>0</v>
      </c>
      <c r="N618" s="167">
        <f t="shared" ref="N618:N626" si="121">H618-K618</f>
        <v>0</v>
      </c>
      <c r="O618" s="167">
        <f t="shared" ref="O618:O626" si="122">M618+N618</f>
        <v>0</v>
      </c>
      <c r="P618" s="184" t="s">
        <v>203</v>
      </c>
      <c r="Q618" s="187"/>
      <c r="R618" s="128">
        <v>1</v>
      </c>
      <c r="S618" s="128">
        <v>1</v>
      </c>
      <c r="T618" s="174">
        <v>24</v>
      </c>
      <c r="U618" s="174">
        <v>24</v>
      </c>
      <c r="V618" s="174">
        <v>1</v>
      </c>
      <c r="W618" s="169">
        <v>23</v>
      </c>
      <c r="X618" s="169">
        <f t="shared" ref="X618:X626" si="123">T618-W618</f>
        <v>1</v>
      </c>
    </row>
    <row r="619" spans="1:24" ht="16.149999999999999" customHeight="1" x14ac:dyDescent="0.2">
      <c r="A619" s="173" t="s">
        <v>1010</v>
      </c>
      <c r="B619" s="171" t="s">
        <v>1183</v>
      </c>
      <c r="C619" s="171" t="s">
        <v>203</v>
      </c>
      <c r="D619" s="165" t="s">
        <v>203</v>
      </c>
      <c r="E619" s="165" t="s">
        <v>203</v>
      </c>
      <c r="F619" s="165" t="s">
        <v>203</v>
      </c>
      <c r="G619" s="167">
        <f>128.81+11.91</f>
        <v>140.72</v>
      </c>
      <c r="H619" s="167">
        <v>0</v>
      </c>
      <c r="I619" s="167">
        <f t="shared" si="118"/>
        <v>140.72</v>
      </c>
      <c r="J619" s="167">
        <f>128.81+11.91</f>
        <v>140.72</v>
      </c>
      <c r="K619" s="167">
        <v>0</v>
      </c>
      <c r="L619" s="167">
        <f t="shared" si="119"/>
        <v>140.72</v>
      </c>
      <c r="M619" s="127">
        <f t="shared" si="120"/>
        <v>0</v>
      </c>
      <c r="N619" s="167">
        <f t="shared" si="121"/>
        <v>0</v>
      </c>
      <c r="O619" s="167">
        <f t="shared" si="122"/>
        <v>0</v>
      </c>
      <c r="P619" s="184" t="s">
        <v>203</v>
      </c>
      <c r="Q619" s="187"/>
      <c r="R619" s="128">
        <v>1</v>
      </c>
      <c r="S619" s="128">
        <v>1</v>
      </c>
      <c r="T619" s="174">
        <f>10+1</f>
        <v>11</v>
      </c>
      <c r="U619" s="174">
        <f>10+1</f>
        <v>11</v>
      </c>
      <c r="V619" s="174">
        <v>0</v>
      </c>
      <c r="W619" s="169">
        <v>11</v>
      </c>
      <c r="X619" s="169">
        <f t="shared" si="123"/>
        <v>0</v>
      </c>
    </row>
    <row r="620" spans="1:24" ht="16.149999999999999" customHeight="1" x14ac:dyDescent="0.2">
      <c r="A620" s="173" t="s">
        <v>1184</v>
      </c>
      <c r="B620" s="171">
        <v>41561</v>
      </c>
      <c r="C620" s="171" t="s">
        <v>203</v>
      </c>
      <c r="D620" s="165" t="s">
        <v>203</v>
      </c>
      <c r="E620" s="165" t="s">
        <v>203</v>
      </c>
      <c r="F620" s="165" t="s">
        <v>203</v>
      </c>
      <c r="G620" s="167">
        <v>71.3</v>
      </c>
      <c r="H620" s="167">
        <v>0</v>
      </c>
      <c r="I620" s="167">
        <f t="shared" si="118"/>
        <v>71.3</v>
      </c>
      <c r="J620" s="167">
        <v>71.3</v>
      </c>
      <c r="K620" s="167">
        <v>0</v>
      </c>
      <c r="L620" s="167">
        <f t="shared" si="119"/>
        <v>71.3</v>
      </c>
      <c r="M620" s="127">
        <f t="shared" si="120"/>
        <v>0</v>
      </c>
      <c r="N620" s="167">
        <f t="shared" si="121"/>
        <v>0</v>
      </c>
      <c r="O620" s="167">
        <f t="shared" si="122"/>
        <v>0</v>
      </c>
      <c r="P620" s="184" t="s">
        <v>203</v>
      </c>
      <c r="Q620" s="187"/>
      <c r="R620" s="128">
        <v>1</v>
      </c>
      <c r="S620" s="128">
        <v>1</v>
      </c>
      <c r="T620" s="174">
        <v>6</v>
      </c>
      <c r="U620" s="174">
        <v>6</v>
      </c>
      <c r="V620" s="174">
        <v>0</v>
      </c>
      <c r="W620" s="169">
        <v>6</v>
      </c>
      <c r="X620" s="169">
        <f t="shared" si="123"/>
        <v>0</v>
      </c>
    </row>
    <row r="621" spans="1:24" ht="16.149999999999999" customHeight="1" x14ac:dyDescent="0.2">
      <c r="A621" s="170" t="s">
        <v>780</v>
      </c>
      <c r="B621" s="171">
        <v>42128</v>
      </c>
      <c r="C621" s="171" t="s">
        <v>203</v>
      </c>
      <c r="D621" s="165" t="s">
        <v>203</v>
      </c>
      <c r="E621" s="165" t="s">
        <v>203</v>
      </c>
      <c r="F621" s="165" t="s">
        <v>203</v>
      </c>
      <c r="G621" s="167">
        <v>119.93</v>
      </c>
      <c r="H621" s="167">
        <v>0</v>
      </c>
      <c r="I621" s="167">
        <f t="shared" si="118"/>
        <v>119.93</v>
      </c>
      <c r="J621" s="167">
        <v>119.93</v>
      </c>
      <c r="K621" s="167">
        <v>0</v>
      </c>
      <c r="L621" s="167">
        <f t="shared" si="119"/>
        <v>119.93</v>
      </c>
      <c r="M621" s="127">
        <f t="shared" si="120"/>
        <v>0</v>
      </c>
      <c r="N621" s="167">
        <f t="shared" si="121"/>
        <v>0</v>
      </c>
      <c r="O621" s="167">
        <f t="shared" si="122"/>
        <v>0</v>
      </c>
      <c r="P621" s="184" t="s">
        <v>203</v>
      </c>
      <c r="Q621" s="187"/>
      <c r="R621" s="128">
        <v>1</v>
      </c>
      <c r="S621" s="128">
        <v>1</v>
      </c>
      <c r="T621" s="169">
        <v>9</v>
      </c>
      <c r="U621" s="169">
        <v>9</v>
      </c>
      <c r="V621" s="169">
        <v>0</v>
      </c>
      <c r="W621" s="169">
        <v>9</v>
      </c>
      <c r="X621" s="169">
        <f t="shared" si="123"/>
        <v>0</v>
      </c>
    </row>
    <row r="622" spans="1:24" ht="16.149999999999999" customHeight="1" x14ac:dyDescent="0.2">
      <c r="A622" s="170" t="s">
        <v>1185</v>
      </c>
      <c r="B622" s="171">
        <v>42177</v>
      </c>
      <c r="C622" s="171" t="s">
        <v>203</v>
      </c>
      <c r="D622" s="165" t="s">
        <v>203</v>
      </c>
      <c r="E622" s="165" t="s">
        <v>203</v>
      </c>
      <c r="F622" s="165" t="s">
        <v>203</v>
      </c>
      <c r="G622" s="167">
        <v>147.44</v>
      </c>
      <c r="H622" s="167">
        <v>0</v>
      </c>
      <c r="I622" s="167">
        <f t="shared" si="118"/>
        <v>147.44</v>
      </c>
      <c r="J622" s="167">
        <v>147.44</v>
      </c>
      <c r="K622" s="167">
        <v>0</v>
      </c>
      <c r="L622" s="167">
        <f t="shared" si="119"/>
        <v>147.44</v>
      </c>
      <c r="M622" s="127">
        <f t="shared" si="120"/>
        <v>0</v>
      </c>
      <c r="N622" s="167">
        <f t="shared" si="121"/>
        <v>0</v>
      </c>
      <c r="O622" s="167">
        <f t="shared" si="122"/>
        <v>0</v>
      </c>
      <c r="P622" s="184" t="s">
        <v>203</v>
      </c>
      <c r="Q622" s="187"/>
      <c r="R622" s="128">
        <v>1</v>
      </c>
      <c r="S622" s="128">
        <v>1</v>
      </c>
      <c r="T622" s="169">
        <v>9</v>
      </c>
      <c r="U622" s="169">
        <v>9</v>
      </c>
      <c r="V622" s="169">
        <v>0</v>
      </c>
      <c r="W622" s="169">
        <v>9</v>
      </c>
      <c r="X622" s="169">
        <f t="shared" si="123"/>
        <v>0</v>
      </c>
    </row>
    <row r="623" spans="1:24" ht="16.149999999999999" customHeight="1" x14ac:dyDescent="0.2">
      <c r="A623" s="170" t="s">
        <v>1185</v>
      </c>
      <c r="B623" s="171">
        <v>42177</v>
      </c>
      <c r="C623" s="171" t="s">
        <v>203</v>
      </c>
      <c r="D623" s="165" t="s">
        <v>203</v>
      </c>
      <c r="E623" s="165" t="s">
        <v>203</v>
      </c>
      <c r="F623" s="165" t="s">
        <v>203</v>
      </c>
      <c r="G623" s="167">
        <v>147.44</v>
      </c>
      <c r="H623" s="167">
        <v>0</v>
      </c>
      <c r="I623" s="167">
        <f t="shared" si="118"/>
        <v>147.44</v>
      </c>
      <c r="J623" s="167">
        <v>147.44</v>
      </c>
      <c r="K623" s="167">
        <v>0</v>
      </c>
      <c r="L623" s="167">
        <f t="shared" si="119"/>
        <v>147.44</v>
      </c>
      <c r="M623" s="127">
        <f t="shared" si="120"/>
        <v>0</v>
      </c>
      <c r="N623" s="167">
        <f t="shared" si="121"/>
        <v>0</v>
      </c>
      <c r="O623" s="167">
        <f t="shared" si="122"/>
        <v>0</v>
      </c>
      <c r="P623" s="184" t="s">
        <v>203</v>
      </c>
      <c r="Q623" s="187"/>
      <c r="R623" s="128">
        <v>1</v>
      </c>
      <c r="S623" s="128">
        <v>1</v>
      </c>
      <c r="T623" s="169">
        <v>9</v>
      </c>
      <c r="U623" s="169">
        <v>9</v>
      </c>
      <c r="V623" s="169">
        <v>0</v>
      </c>
      <c r="W623" s="169">
        <v>9</v>
      </c>
      <c r="X623" s="169">
        <f t="shared" si="123"/>
        <v>0</v>
      </c>
    </row>
    <row r="624" spans="1:24" ht="16.149999999999999" customHeight="1" x14ac:dyDescent="0.2">
      <c r="A624" s="173" t="s">
        <v>1365</v>
      </c>
      <c r="B624" s="171" t="s">
        <v>1352</v>
      </c>
      <c r="C624" s="169" t="s">
        <v>203</v>
      </c>
      <c r="D624" s="165" t="s">
        <v>203</v>
      </c>
      <c r="E624" s="165" t="s">
        <v>203</v>
      </c>
      <c r="F624" s="165" t="s">
        <v>203</v>
      </c>
      <c r="G624" s="167">
        <v>337.31190886000002</v>
      </c>
      <c r="H624" s="167">
        <v>0</v>
      </c>
      <c r="I624" s="167">
        <f t="shared" si="118"/>
        <v>337.31190886000002</v>
      </c>
      <c r="J624" s="167">
        <v>0</v>
      </c>
      <c r="K624" s="167">
        <v>0</v>
      </c>
      <c r="L624" s="167">
        <f t="shared" si="119"/>
        <v>0</v>
      </c>
      <c r="M624" s="127">
        <f t="shared" si="120"/>
        <v>337.31190886000002</v>
      </c>
      <c r="N624" s="167">
        <f t="shared" si="121"/>
        <v>0</v>
      </c>
      <c r="O624" s="167">
        <f t="shared" si="122"/>
        <v>337.31190886000002</v>
      </c>
      <c r="P624" s="178" t="s">
        <v>203</v>
      </c>
      <c r="Q624" s="187"/>
      <c r="R624" s="128">
        <v>1</v>
      </c>
      <c r="S624" s="128">
        <v>0</v>
      </c>
      <c r="T624" s="169">
        <v>30</v>
      </c>
      <c r="U624" s="169">
        <v>30</v>
      </c>
      <c r="V624" s="169">
        <v>0</v>
      </c>
      <c r="W624" s="169">
        <v>0</v>
      </c>
      <c r="X624" s="169">
        <f t="shared" si="123"/>
        <v>30</v>
      </c>
    </row>
    <row r="625" spans="1:24" ht="16.149999999999999" customHeight="1" x14ac:dyDescent="0.2">
      <c r="A625" s="173" t="s">
        <v>1366</v>
      </c>
      <c r="B625" s="171" t="s">
        <v>1352</v>
      </c>
      <c r="C625" s="169" t="s">
        <v>203</v>
      </c>
      <c r="D625" s="165" t="s">
        <v>203</v>
      </c>
      <c r="E625" s="165" t="s">
        <v>203</v>
      </c>
      <c r="F625" s="165" t="s">
        <v>203</v>
      </c>
      <c r="G625" s="167">
        <v>104.50028722</v>
      </c>
      <c r="H625" s="167">
        <v>0</v>
      </c>
      <c r="I625" s="167">
        <f t="shared" si="118"/>
        <v>104.50028722</v>
      </c>
      <c r="J625" s="167">
        <v>0</v>
      </c>
      <c r="K625" s="167">
        <v>0</v>
      </c>
      <c r="L625" s="167">
        <f t="shared" si="119"/>
        <v>0</v>
      </c>
      <c r="M625" s="127">
        <f t="shared" si="120"/>
        <v>104.50028722</v>
      </c>
      <c r="N625" s="167">
        <f t="shared" si="121"/>
        <v>0</v>
      </c>
      <c r="O625" s="167">
        <f t="shared" si="122"/>
        <v>104.50028722</v>
      </c>
      <c r="P625" s="178" t="s">
        <v>203</v>
      </c>
      <c r="Q625" s="187"/>
      <c r="R625" s="128">
        <v>1</v>
      </c>
      <c r="S625" s="128">
        <v>0</v>
      </c>
      <c r="T625" s="169">
        <v>10</v>
      </c>
      <c r="U625" s="169">
        <v>10</v>
      </c>
      <c r="V625" s="169">
        <v>0</v>
      </c>
      <c r="W625" s="169">
        <v>0</v>
      </c>
      <c r="X625" s="169">
        <f t="shared" si="123"/>
        <v>10</v>
      </c>
    </row>
    <row r="626" spans="1:24" ht="16.149999999999999" customHeight="1" x14ac:dyDescent="0.2">
      <c r="A626" s="173" t="s">
        <v>1367</v>
      </c>
      <c r="B626" s="171" t="s">
        <v>1352</v>
      </c>
      <c r="C626" s="169" t="s">
        <v>203</v>
      </c>
      <c r="D626" s="165" t="s">
        <v>203</v>
      </c>
      <c r="E626" s="165" t="s">
        <v>203</v>
      </c>
      <c r="F626" s="165" t="s">
        <v>203</v>
      </c>
      <c r="G626" s="167">
        <v>78.720342560000006</v>
      </c>
      <c r="H626" s="167">
        <v>0</v>
      </c>
      <c r="I626" s="167">
        <f t="shared" si="118"/>
        <v>78.720342560000006</v>
      </c>
      <c r="J626" s="167">
        <v>0</v>
      </c>
      <c r="K626" s="167">
        <v>0</v>
      </c>
      <c r="L626" s="167">
        <f t="shared" si="119"/>
        <v>0</v>
      </c>
      <c r="M626" s="127">
        <f t="shared" si="120"/>
        <v>78.720342560000006</v>
      </c>
      <c r="N626" s="167">
        <f t="shared" si="121"/>
        <v>0</v>
      </c>
      <c r="O626" s="167">
        <f t="shared" si="122"/>
        <v>78.720342560000006</v>
      </c>
      <c r="P626" s="178" t="s">
        <v>203</v>
      </c>
      <c r="Q626" s="187"/>
      <c r="R626" s="128">
        <v>1</v>
      </c>
      <c r="S626" s="128">
        <v>0</v>
      </c>
      <c r="T626" s="169">
        <v>8</v>
      </c>
      <c r="U626" s="169">
        <v>8</v>
      </c>
      <c r="V626" s="169">
        <v>0</v>
      </c>
      <c r="W626" s="169">
        <v>0</v>
      </c>
      <c r="X626" s="169">
        <f t="shared" si="123"/>
        <v>8</v>
      </c>
    </row>
    <row r="627" spans="1:24" ht="16.149999999999999" customHeight="1" x14ac:dyDescent="0.2">
      <c r="A627" s="189" t="s">
        <v>1186</v>
      </c>
      <c r="B627" s="189"/>
      <c r="C627" s="189"/>
      <c r="D627" s="189"/>
      <c r="E627" s="189"/>
      <c r="F627" s="189"/>
      <c r="G627" s="190">
        <f t="shared" ref="G627:P627" si="124">SUM(G618:G626)</f>
        <v>1449.4125386400003</v>
      </c>
      <c r="H627" s="190">
        <f t="shared" si="124"/>
        <v>0</v>
      </c>
      <c r="I627" s="190">
        <f t="shared" si="124"/>
        <v>1449.4125386400003</v>
      </c>
      <c r="J627" s="190">
        <f t="shared" si="124"/>
        <v>928.88000000000011</v>
      </c>
      <c r="K627" s="190">
        <f t="shared" si="124"/>
        <v>0</v>
      </c>
      <c r="L627" s="190">
        <f t="shared" si="124"/>
        <v>928.88000000000011</v>
      </c>
      <c r="M627" s="136">
        <f t="shared" si="124"/>
        <v>520.53253863999998</v>
      </c>
      <c r="N627" s="190">
        <f t="shared" si="124"/>
        <v>0</v>
      </c>
      <c r="O627" s="190">
        <f t="shared" si="124"/>
        <v>520.53253863999998</v>
      </c>
      <c r="P627" s="190">
        <f t="shared" si="124"/>
        <v>0</v>
      </c>
      <c r="Q627" s="187"/>
      <c r="R627" s="128"/>
      <c r="S627" s="128"/>
      <c r="T627" s="224">
        <f>SUM(T618:T626)</f>
        <v>116</v>
      </c>
      <c r="U627" s="224">
        <f>SUM(U618:U626)</f>
        <v>116</v>
      </c>
      <c r="V627" s="224">
        <f>SUM(V618:V626)</f>
        <v>1</v>
      </c>
      <c r="W627" s="224">
        <f>SUM(W618:W626)</f>
        <v>67</v>
      </c>
      <c r="X627" s="224">
        <f>SUM(X618:X626)</f>
        <v>49</v>
      </c>
    </row>
    <row r="628" spans="1:24" ht="16.149999999999999" customHeight="1" x14ac:dyDescent="0.2">
      <c r="A628" s="220"/>
      <c r="B628" s="221"/>
      <c r="C628" s="221"/>
      <c r="D628" s="221"/>
      <c r="E628" s="221"/>
      <c r="F628" s="221"/>
      <c r="G628" s="146"/>
      <c r="H628" s="146"/>
      <c r="I628" s="146"/>
      <c r="J628" s="146"/>
      <c r="K628" s="146"/>
      <c r="L628" s="146"/>
      <c r="M628" s="126"/>
      <c r="N628" s="146"/>
      <c r="O628" s="146"/>
      <c r="P628" s="146"/>
      <c r="Q628" s="187"/>
      <c r="R628" s="223"/>
      <c r="S628" s="223"/>
      <c r="T628" s="219"/>
      <c r="U628" s="219"/>
      <c r="V628" s="219"/>
      <c r="W628" s="219"/>
      <c r="X628" s="219"/>
    </row>
    <row r="629" spans="1:24" ht="16.149999999999999" customHeight="1" x14ac:dyDescent="0.2">
      <c r="A629" s="220" t="s">
        <v>368</v>
      </c>
      <c r="B629" s="221"/>
      <c r="C629" s="221"/>
      <c r="D629" s="221"/>
      <c r="E629" s="221"/>
      <c r="F629" s="221"/>
      <c r="G629" s="146"/>
      <c r="H629" s="146"/>
      <c r="I629" s="146"/>
      <c r="J629" s="146"/>
      <c r="K629" s="146"/>
      <c r="L629" s="146"/>
      <c r="M629" s="126"/>
      <c r="N629" s="146"/>
      <c r="O629" s="146"/>
      <c r="P629" s="229"/>
      <c r="Q629" s="187"/>
      <c r="R629" s="223"/>
      <c r="S629" s="223"/>
      <c r="T629" s="219"/>
      <c r="U629" s="219"/>
      <c r="V629" s="219"/>
      <c r="W629" s="156"/>
      <c r="X629" s="156"/>
    </row>
    <row r="630" spans="1:24" ht="16.149999999999999" customHeight="1" x14ac:dyDescent="0.2">
      <c r="A630" s="173" t="s">
        <v>369</v>
      </c>
      <c r="B630" s="171">
        <v>42156</v>
      </c>
      <c r="C630" s="169" t="s">
        <v>203</v>
      </c>
      <c r="D630" s="169" t="s">
        <v>203</v>
      </c>
      <c r="E630" s="169" t="s">
        <v>203</v>
      </c>
      <c r="F630" s="169" t="s">
        <v>203</v>
      </c>
      <c r="G630" s="167">
        <v>35.18</v>
      </c>
      <c r="H630" s="167">
        <v>0</v>
      </c>
      <c r="I630" s="167">
        <f>G630+H630</f>
        <v>35.18</v>
      </c>
      <c r="J630" s="167">
        <f>23.45+11.73</f>
        <v>35.18</v>
      </c>
      <c r="K630" s="167">
        <v>0</v>
      </c>
      <c r="L630" s="167">
        <f>J630+K630</f>
        <v>35.18</v>
      </c>
      <c r="M630" s="127">
        <f>G630-J630</f>
        <v>0</v>
      </c>
      <c r="N630" s="167">
        <f>H630-K630</f>
        <v>0</v>
      </c>
      <c r="O630" s="167">
        <f>M630+N630</f>
        <v>0</v>
      </c>
      <c r="P630" s="178" t="s">
        <v>203</v>
      </c>
      <c r="Q630" s="187"/>
      <c r="R630" s="128">
        <v>1</v>
      </c>
      <c r="S630" s="128">
        <v>0</v>
      </c>
      <c r="T630" s="169">
        <v>3</v>
      </c>
      <c r="U630" s="169">
        <v>3</v>
      </c>
      <c r="V630" s="169">
        <v>0</v>
      </c>
      <c r="W630" s="169">
        <v>3</v>
      </c>
      <c r="X630" s="169">
        <f>T630-W630</f>
        <v>0</v>
      </c>
    </row>
    <row r="631" spans="1:24" ht="16.149999999999999" customHeight="1" x14ac:dyDescent="0.2">
      <c r="A631" s="173" t="s">
        <v>370</v>
      </c>
      <c r="B631" s="171">
        <v>42156</v>
      </c>
      <c r="C631" s="169" t="s">
        <v>203</v>
      </c>
      <c r="D631" s="169" t="s">
        <v>203</v>
      </c>
      <c r="E631" s="169" t="s">
        <v>203</v>
      </c>
      <c r="F631" s="169" t="s">
        <v>203</v>
      </c>
      <c r="G631" s="167">
        <v>23.45</v>
      </c>
      <c r="H631" s="167">
        <v>0</v>
      </c>
      <c r="I631" s="167">
        <f>G631+H631</f>
        <v>23.45</v>
      </c>
      <c r="J631" s="167">
        <v>23.45</v>
      </c>
      <c r="K631" s="167">
        <v>0</v>
      </c>
      <c r="L631" s="167">
        <f>J631+K631</f>
        <v>23.45</v>
      </c>
      <c r="M631" s="127">
        <f>G631-J631</f>
        <v>0</v>
      </c>
      <c r="N631" s="167">
        <f>H631-K631</f>
        <v>0</v>
      </c>
      <c r="O631" s="167">
        <f>M631+N631</f>
        <v>0</v>
      </c>
      <c r="P631" s="178" t="s">
        <v>203</v>
      </c>
      <c r="Q631" s="187"/>
      <c r="R631" s="128">
        <v>1</v>
      </c>
      <c r="S631" s="128">
        <v>0</v>
      </c>
      <c r="T631" s="174">
        <v>2</v>
      </c>
      <c r="U631" s="174">
        <v>2</v>
      </c>
      <c r="V631" s="174">
        <v>0</v>
      </c>
      <c r="W631" s="169">
        <v>2</v>
      </c>
      <c r="X631" s="169">
        <f>T631-W631</f>
        <v>0</v>
      </c>
    </row>
    <row r="632" spans="1:24" ht="16.149999999999999" customHeight="1" x14ac:dyDescent="0.2">
      <c r="A632" s="189" t="s">
        <v>371</v>
      </c>
      <c r="B632" s="189"/>
      <c r="C632" s="189"/>
      <c r="D632" s="189"/>
      <c r="E632" s="189"/>
      <c r="F632" s="189"/>
      <c r="G632" s="190">
        <f t="shared" ref="G632:P632" si="125">SUM(G630:G631)</f>
        <v>58.629999999999995</v>
      </c>
      <c r="H632" s="190">
        <f t="shared" si="125"/>
        <v>0</v>
      </c>
      <c r="I632" s="190">
        <f t="shared" si="125"/>
        <v>58.629999999999995</v>
      </c>
      <c r="J632" s="190">
        <f t="shared" si="125"/>
        <v>58.629999999999995</v>
      </c>
      <c r="K632" s="190">
        <f t="shared" si="125"/>
        <v>0</v>
      </c>
      <c r="L632" s="190">
        <f t="shared" si="125"/>
        <v>58.629999999999995</v>
      </c>
      <c r="M632" s="136">
        <f t="shared" si="125"/>
        <v>0</v>
      </c>
      <c r="N632" s="190">
        <f t="shared" si="125"/>
        <v>0</v>
      </c>
      <c r="O632" s="190">
        <f t="shared" si="125"/>
        <v>0</v>
      </c>
      <c r="P632" s="190">
        <f t="shared" si="125"/>
        <v>0</v>
      </c>
      <c r="Q632" s="187"/>
      <c r="R632" s="128"/>
      <c r="S632" s="128"/>
      <c r="T632" s="224">
        <f>SUM(T630:T631)</f>
        <v>5</v>
      </c>
      <c r="U632" s="224">
        <f>SUM(U630:U631)</f>
        <v>5</v>
      </c>
      <c r="V632" s="224">
        <f>SUM(V630:V631)</f>
        <v>0</v>
      </c>
      <c r="W632" s="224">
        <f>SUM(W630:W631)</f>
        <v>5</v>
      </c>
      <c r="X632" s="224">
        <f>SUM(X630:X631)</f>
        <v>0</v>
      </c>
    </row>
    <row r="633" spans="1:24" ht="16.149999999999999" customHeight="1" x14ac:dyDescent="0.2">
      <c r="A633" s="220"/>
      <c r="B633" s="221"/>
      <c r="C633" s="221"/>
      <c r="D633" s="221"/>
      <c r="E633" s="221"/>
      <c r="F633" s="221"/>
      <c r="G633" s="187"/>
      <c r="H633" s="146"/>
      <c r="I633" s="187"/>
      <c r="J633" s="146"/>
      <c r="K633" s="146"/>
      <c r="L633" s="146"/>
      <c r="M633" s="126"/>
      <c r="N633" s="146"/>
      <c r="O633" s="146"/>
      <c r="P633" s="146"/>
      <c r="Q633" s="187"/>
      <c r="R633" s="223"/>
      <c r="S633" s="223"/>
      <c r="T633" s="219"/>
      <c r="U633" s="219"/>
      <c r="V633" s="219"/>
      <c r="W633" s="219"/>
      <c r="X633" s="219"/>
    </row>
    <row r="634" spans="1:24" ht="16.149999999999999" customHeight="1" x14ac:dyDescent="0.2">
      <c r="A634" s="220" t="s">
        <v>263</v>
      </c>
      <c r="B634" s="221"/>
      <c r="C634" s="221"/>
      <c r="D634" s="221"/>
      <c r="E634" s="221"/>
      <c r="F634" s="221"/>
      <c r="G634" s="146"/>
      <c r="H634" s="146"/>
      <c r="I634" s="146"/>
      <c r="J634" s="146"/>
      <c r="K634" s="146"/>
      <c r="L634" s="146"/>
      <c r="M634" s="126"/>
      <c r="N634" s="146"/>
      <c r="O634" s="146"/>
      <c r="P634" s="229"/>
      <c r="Q634" s="187"/>
      <c r="R634" s="223"/>
      <c r="S634" s="223"/>
      <c r="T634" s="219"/>
      <c r="U634" s="219"/>
      <c r="V634" s="219"/>
      <c r="W634" s="156"/>
      <c r="X634" s="156"/>
    </row>
    <row r="635" spans="1:24" ht="16.149999999999999" customHeight="1" x14ac:dyDescent="0.2">
      <c r="A635" s="173" t="s">
        <v>310</v>
      </c>
      <c r="B635" s="171" t="s">
        <v>332</v>
      </c>
      <c r="C635" s="171">
        <v>41572</v>
      </c>
      <c r="D635" s="171"/>
      <c r="E635" s="171"/>
      <c r="F635" s="171"/>
      <c r="G635" s="167">
        <f>1290.66+22.48-0.32</f>
        <v>1312.8200000000002</v>
      </c>
      <c r="H635" s="167">
        <v>0</v>
      </c>
      <c r="I635" s="167">
        <f>G635+H635</f>
        <v>1312.8200000000002</v>
      </c>
      <c r="J635" s="167">
        <f>694.12+4.84+48.3+26.61+61.35+36.32+34.06+50.55+26.44+34.52+28.93+23.17+29.56+33.13+72.18+11.35+50.36+22.48+21.55+3</f>
        <v>1312.8200000000002</v>
      </c>
      <c r="K635" s="167">
        <v>0</v>
      </c>
      <c r="L635" s="167">
        <f>J635+K635</f>
        <v>1312.8200000000002</v>
      </c>
      <c r="M635" s="127">
        <f t="shared" ref="M635:N637" si="126">G635-J635</f>
        <v>0</v>
      </c>
      <c r="N635" s="167">
        <f t="shared" si="126"/>
        <v>0</v>
      </c>
      <c r="O635" s="167">
        <f>M635+N635</f>
        <v>0</v>
      </c>
      <c r="P635" s="184" t="s">
        <v>203</v>
      </c>
      <c r="Q635" s="187"/>
      <c r="R635" s="128">
        <v>1</v>
      </c>
      <c r="S635" s="128">
        <v>1</v>
      </c>
      <c r="T635" s="174">
        <v>65</v>
      </c>
      <c r="U635" s="174">
        <v>65</v>
      </c>
      <c r="V635" s="174">
        <v>0</v>
      </c>
      <c r="W635" s="169">
        <v>65</v>
      </c>
      <c r="X635" s="169">
        <f>T635-W635</f>
        <v>0</v>
      </c>
    </row>
    <row r="636" spans="1:24" ht="16.149999999999999" customHeight="1" x14ac:dyDescent="0.2">
      <c r="A636" s="173" t="s">
        <v>356</v>
      </c>
      <c r="B636" s="171">
        <v>41757</v>
      </c>
      <c r="C636" s="171">
        <v>41929</v>
      </c>
      <c r="D636" s="171"/>
      <c r="E636" s="171"/>
      <c r="F636" s="171"/>
      <c r="G636" s="167">
        <v>180.05</v>
      </c>
      <c r="H636" s="167">
        <v>0</v>
      </c>
      <c r="I636" s="167">
        <f>G636+H636</f>
        <v>180.05</v>
      </c>
      <c r="J636" s="167">
        <f>14.74+18.53+21.97</f>
        <v>55.24</v>
      </c>
      <c r="K636" s="167">
        <v>0</v>
      </c>
      <c r="L636" s="167">
        <f>J636+K636</f>
        <v>55.24</v>
      </c>
      <c r="M636" s="127">
        <f t="shared" si="126"/>
        <v>124.81</v>
      </c>
      <c r="N636" s="167">
        <f t="shared" si="126"/>
        <v>0</v>
      </c>
      <c r="O636" s="167">
        <f>M636+N636</f>
        <v>124.81</v>
      </c>
      <c r="P636" s="167">
        <f>14.74+18.53+21.97</f>
        <v>55.24</v>
      </c>
      <c r="Q636" s="187"/>
      <c r="R636" s="128">
        <v>0.42</v>
      </c>
      <c r="S636" s="128">
        <v>0.11</v>
      </c>
      <c r="T636" s="174">
        <v>0</v>
      </c>
      <c r="U636" s="174">
        <v>0</v>
      </c>
      <c r="V636" s="174">
        <v>0</v>
      </c>
      <c r="W636" s="169">
        <v>0</v>
      </c>
      <c r="X636" s="169">
        <f>T636-W636</f>
        <v>0</v>
      </c>
    </row>
    <row r="637" spans="1:24" ht="16.149999999999999" customHeight="1" x14ac:dyDescent="0.2">
      <c r="A637" s="173" t="s">
        <v>1030</v>
      </c>
      <c r="B637" s="171" t="s">
        <v>1187</v>
      </c>
      <c r="C637" s="171"/>
      <c r="D637" s="171"/>
      <c r="E637" s="171"/>
      <c r="F637" s="171"/>
      <c r="G637" s="167">
        <f>300.39+94.04</f>
        <v>394.43</v>
      </c>
      <c r="H637" s="167">
        <v>0</v>
      </c>
      <c r="I637" s="167">
        <f>G637+H637</f>
        <v>394.43</v>
      </c>
      <c r="J637" s="167">
        <f>300.39+94.04</f>
        <v>394.43</v>
      </c>
      <c r="K637" s="167">
        <v>0</v>
      </c>
      <c r="L637" s="167">
        <f>J637+K637</f>
        <v>394.43</v>
      </c>
      <c r="M637" s="127">
        <f t="shared" si="126"/>
        <v>0</v>
      </c>
      <c r="N637" s="167">
        <f t="shared" si="126"/>
        <v>0</v>
      </c>
      <c r="O637" s="167">
        <f>M637+N637</f>
        <v>0</v>
      </c>
      <c r="P637" s="184" t="s">
        <v>203</v>
      </c>
      <c r="Q637" s="187"/>
      <c r="R637" s="128">
        <v>1</v>
      </c>
      <c r="S637" s="128">
        <v>1</v>
      </c>
      <c r="T637" s="174">
        <v>21</v>
      </c>
      <c r="U637" s="174">
        <v>21</v>
      </c>
      <c r="V637" s="174">
        <v>0</v>
      </c>
      <c r="W637" s="169">
        <v>21</v>
      </c>
      <c r="X637" s="169">
        <f>T637-W637</f>
        <v>0</v>
      </c>
    </row>
    <row r="638" spans="1:24" ht="16.149999999999999" customHeight="1" x14ac:dyDescent="0.2">
      <c r="A638" s="189" t="s">
        <v>264</v>
      </c>
      <c r="B638" s="189"/>
      <c r="C638" s="189"/>
      <c r="D638" s="189"/>
      <c r="E638" s="189"/>
      <c r="F638" s="189"/>
      <c r="G638" s="190">
        <f t="shared" ref="G638:P638" si="127">SUM(G635:G637)</f>
        <v>1887.3000000000002</v>
      </c>
      <c r="H638" s="190">
        <f t="shared" si="127"/>
        <v>0</v>
      </c>
      <c r="I638" s="190">
        <f t="shared" si="127"/>
        <v>1887.3000000000002</v>
      </c>
      <c r="J638" s="190">
        <f t="shared" si="127"/>
        <v>1762.4900000000002</v>
      </c>
      <c r="K638" s="190">
        <f t="shared" si="127"/>
        <v>0</v>
      </c>
      <c r="L638" s="190">
        <f t="shared" si="127"/>
        <v>1762.4900000000002</v>
      </c>
      <c r="M638" s="136">
        <f t="shared" si="127"/>
        <v>124.81</v>
      </c>
      <c r="N638" s="190">
        <f t="shared" si="127"/>
        <v>0</v>
      </c>
      <c r="O638" s="190">
        <f t="shared" si="127"/>
        <v>124.81</v>
      </c>
      <c r="P638" s="190">
        <f t="shared" si="127"/>
        <v>55.24</v>
      </c>
      <c r="Q638" s="187"/>
      <c r="R638" s="128"/>
      <c r="S638" s="128"/>
      <c r="T638" s="224">
        <f>SUM(T635:T637)</f>
        <v>86</v>
      </c>
      <c r="U638" s="224">
        <f>SUM(U635:U637)</f>
        <v>86</v>
      </c>
      <c r="V638" s="224">
        <f>SUM(V635:V637)</f>
        <v>0</v>
      </c>
      <c r="W638" s="224">
        <f>SUM(W635:W637)</f>
        <v>86</v>
      </c>
      <c r="X638" s="224">
        <f>SUM(X635:X637)</f>
        <v>0</v>
      </c>
    </row>
    <row r="639" spans="1:24" ht="16.149999999999999" customHeight="1" x14ac:dyDescent="0.2">
      <c r="A639" s="220"/>
      <c r="B639" s="221"/>
      <c r="C639" s="221"/>
      <c r="D639" s="221"/>
      <c r="E639" s="221"/>
      <c r="F639" s="221"/>
      <c r="G639" s="146"/>
      <c r="H639" s="146"/>
      <c r="I639" s="146"/>
      <c r="J639" s="146"/>
      <c r="K639" s="146"/>
      <c r="L639" s="146"/>
      <c r="M639" s="126"/>
      <c r="N639" s="146"/>
      <c r="O639" s="146"/>
      <c r="P639" s="146"/>
      <c r="Q639" s="187"/>
      <c r="R639" s="223"/>
      <c r="S639" s="223"/>
      <c r="T639" s="219"/>
      <c r="U639" s="219"/>
      <c r="V639" s="219"/>
      <c r="W639" s="219"/>
      <c r="X639" s="219"/>
    </row>
    <row r="640" spans="1:24" ht="16.149999999999999" customHeight="1" x14ac:dyDescent="0.2">
      <c r="A640" s="220" t="s">
        <v>378</v>
      </c>
      <c r="B640" s="221"/>
      <c r="C640" s="221"/>
      <c r="D640" s="221"/>
      <c r="E640" s="221"/>
      <c r="F640" s="221"/>
      <c r="G640" s="146"/>
      <c r="H640" s="146"/>
      <c r="I640" s="146"/>
      <c r="J640" s="146"/>
      <c r="K640" s="146"/>
      <c r="L640" s="146"/>
      <c r="M640" s="126"/>
      <c r="N640" s="146"/>
      <c r="O640" s="146"/>
      <c r="P640" s="229"/>
      <c r="Q640" s="187"/>
      <c r="R640" s="223"/>
      <c r="S640" s="223"/>
      <c r="T640" s="219"/>
      <c r="U640" s="219"/>
      <c r="V640" s="219"/>
      <c r="W640" s="156"/>
      <c r="X640" s="156"/>
    </row>
    <row r="641" spans="1:24" ht="16.149999999999999" customHeight="1" x14ac:dyDescent="0.2">
      <c r="A641" s="173" t="s">
        <v>379</v>
      </c>
      <c r="B641" s="171" t="s">
        <v>380</v>
      </c>
      <c r="C641" s="171" t="s">
        <v>203</v>
      </c>
      <c r="D641" s="171" t="s">
        <v>203</v>
      </c>
      <c r="E641" s="171" t="s">
        <v>203</v>
      </c>
      <c r="F641" s="171" t="s">
        <v>203</v>
      </c>
      <c r="G641" s="167">
        <f>172.86+16.51-0.82</f>
        <v>188.55</v>
      </c>
      <c r="H641" s="167">
        <v>0</v>
      </c>
      <c r="I641" s="167">
        <f>G641+H641</f>
        <v>188.55</v>
      </c>
      <c r="J641" s="167">
        <f>144.71+13.91+29.93</f>
        <v>188.55</v>
      </c>
      <c r="K641" s="167">
        <v>0</v>
      </c>
      <c r="L641" s="167">
        <f>J641+K641</f>
        <v>188.55</v>
      </c>
      <c r="M641" s="127">
        <f>G641-J641</f>
        <v>0</v>
      </c>
      <c r="N641" s="167">
        <f>H641-K641</f>
        <v>0</v>
      </c>
      <c r="O641" s="167">
        <f>M641+N641</f>
        <v>0</v>
      </c>
      <c r="P641" s="184" t="s">
        <v>203</v>
      </c>
      <c r="Q641" s="187"/>
      <c r="R641" s="128">
        <v>1</v>
      </c>
      <c r="S641" s="128">
        <v>1</v>
      </c>
      <c r="T641" s="174">
        <f>10+1</f>
        <v>11</v>
      </c>
      <c r="U641" s="174">
        <f>10+1</f>
        <v>11</v>
      </c>
      <c r="V641" s="174">
        <v>0</v>
      </c>
      <c r="W641" s="169">
        <v>11</v>
      </c>
      <c r="X641" s="169">
        <f>T641-W641</f>
        <v>0</v>
      </c>
    </row>
    <row r="642" spans="1:24" ht="16.149999999999999" customHeight="1" x14ac:dyDescent="0.2">
      <c r="A642" s="170" t="s">
        <v>1188</v>
      </c>
      <c r="B642" s="171">
        <v>43563</v>
      </c>
      <c r="C642" s="169"/>
      <c r="D642" s="169"/>
      <c r="E642" s="169"/>
      <c r="F642" s="169"/>
      <c r="G642" s="167">
        <v>660.45</v>
      </c>
      <c r="H642" s="167">
        <v>0</v>
      </c>
      <c r="I642" s="167">
        <f>G642+H642</f>
        <v>660.45</v>
      </c>
      <c r="J642" s="167">
        <f>481.9+118.55</f>
        <v>600.44999999999993</v>
      </c>
      <c r="K642" s="167">
        <v>0</v>
      </c>
      <c r="L642" s="167">
        <f>J642+K642</f>
        <v>600.44999999999993</v>
      </c>
      <c r="M642" s="127">
        <f>G642-J642</f>
        <v>60.000000000000114</v>
      </c>
      <c r="N642" s="167">
        <f>H642-K642</f>
        <v>0</v>
      </c>
      <c r="O642" s="167">
        <f>M642+N642</f>
        <v>60.000000000000114</v>
      </c>
      <c r="P642" s="178" t="s">
        <v>203</v>
      </c>
      <c r="Q642" s="168"/>
      <c r="R642" s="128">
        <v>0</v>
      </c>
      <c r="S642" s="128">
        <v>0</v>
      </c>
      <c r="T642" s="169">
        <v>36</v>
      </c>
      <c r="U642" s="169">
        <v>36</v>
      </c>
      <c r="V642" s="169">
        <v>0</v>
      </c>
      <c r="W642" s="169">
        <v>36</v>
      </c>
      <c r="X642" s="169">
        <v>0</v>
      </c>
    </row>
    <row r="643" spans="1:24" ht="16.149999999999999" customHeight="1" x14ac:dyDescent="0.2">
      <c r="A643" s="189" t="s">
        <v>381</v>
      </c>
      <c r="B643" s="189"/>
      <c r="C643" s="189"/>
      <c r="D643" s="189"/>
      <c r="E643" s="189"/>
      <c r="F643" s="189"/>
      <c r="G643" s="190">
        <f>SUM(G641:G642)</f>
        <v>849</v>
      </c>
      <c r="H643" s="190">
        <f t="shared" ref="H643:P643" si="128">SUM(H641:H642)</f>
        <v>0</v>
      </c>
      <c r="I643" s="190">
        <f t="shared" si="128"/>
        <v>849</v>
      </c>
      <c r="J643" s="190">
        <f t="shared" si="128"/>
        <v>789</v>
      </c>
      <c r="K643" s="190">
        <f t="shared" si="128"/>
        <v>0</v>
      </c>
      <c r="L643" s="190">
        <f t="shared" si="128"/>
        <v>789</v>
      </c>
      <c r="M643" s="190">
        <f t="shared" si="128"/>
        <v>60.000000000000114</v>
      </c>
      <c r="N643" s="190">
        <f t="shared" si="128"/>
        <v>0</v>
      </c>
      <c r="O643" s="190">
        <f t="shared" si="128"/>
        <v>60.000000000000114</v>
      </c>
      <c r="P643" s="190">
        <f t="shared" si="128"/>
        <v>0</v>
      </c>
      <c r="Q643" s="187"/>
      <c r="R643" s="128"/>
      <c r="S643" s="128"/>
      <c r="T643" s="224">
        <f>SUM(T641:T642)</f>
        <v>47</v>
      </c>
      <c r="U643" s="224">
        <f>SUM(U641:U642)</f>
        <v>47</v>
      </c>
      <c r="V643" s="224">
        <f>SUM(V641:V642)</f>
        <v>0</v>
      </c>
      <c r="W643" s="224">
        <f>SUM(W641:W642)</f>
        <v>47</v>
      </c>
      <c r="X643" s="224">
        <f>SUM(X641:X642)</f>
        <v>0</v>
      </c>
    </row>
    <row r="644" spans="1:24" ht="16.149999999999999" customHeight="1" x14ac:dyDescent="0.2">
      <c r="A644" s="220" t="s">
        <v>1189</v>
      </c>
      <c r="B644" s="221"/>
      <c r="C644" s="221"/>
      <c r="D644" s="221"/>
      <c r="E644" s="221"/>
      <c r="F644" s="221"/>
      <c r="G644" s="146"/>
      <c r="H644" s="146"/>
      <c r="I644" s="146"/>
      <c r="J644" s="146"/>
      <c r="K644" s="146"/>
      <c r="L644" s="146"/>
      <c r="M644" s="126"/>
      <c r="N644" s="146"/>
      <c r="O644" s="146"/>
      <c r="P644" s="229"/>
      <c r="Q644" s="187"/>
      <c r="R644" s="223"/>
      <c r="S644" s="223"/>
      <c r="T644" s="219"/>
      <c r="U644" s="219"/>
      <c r="V644" s="219"/>
      <c r="W644" s="156"/>
      <c r="X644" s="156"/>
    </row>
    <row r="645" spans="1:24" ht="16.149999999999999" customHeight="1" x14ac:dyDescent="0.2">
      <c r="A645" s="182" t="s">
        <v>1190</v>
      </c>
      <c r="B645" s="177">
        <v>43661</v>
      </c>
      <c r="C645" s="171"/>
      <c r="D645" s="171"/>
      <c r="E645" s="171"/>
      <c r="F645" s="171"/>
      <c r="G645" s="167">
        <v>113.77</v>
      </c>
      <c r="H645" s="167">
        <v>0</v>
      </c>
      <c r="I645" s="167">
        <f>G645+H645</f>
        <v>113.77</v>
      </c>
      <c r="J645" s="167">
        <v>113.77</v>
      </c>
      <c r="K645" s="167">
        <v>0</v>
      </c>
      <c r="L645" s="167">
        <f>J645+K645</f>
        <v>113.77</v>
      </c>
      <c r="M645" s="127">
        <f>G645-J645</f>
        <v>0</v>
      </c>
      <c r="N645" s="167">
        <f>H645-K645</f>
        <v>0</v>
      </c>
      <c r="O645" s="167">
        <f>M645+N645</f>
        <v>0</v>
      </c>
      <c r="P645" s="178">
        <v>0</v>
      </c>
      <c r="Q645" s="168"/>
      <c r="R645" s="128">
        <v>1</v>
      </c>
      <c r="S645" s="128">
        <v>0</v>
      </c>
      <c r="T645" s="169">
        <v>8</v>
      </c>
      <c r="U645" s="169">
        <v>8</v>
      </c>
      <c r="V645" s="169">
        <v>8</v>
      </c>
      <c r="W645" s="169">
        <v>8</v>
      </c>
      <c r="X645" s="169">
        <f>T645-W645</f>
        <v>0</v>
      </c>
    </row>
    <row r="646" spans="1:24" ht="16.149999999999999" customHeight="1" x14ac:dyDescent="0.2">
      <c r="A646" s="182" t="s">
        <v>1368</v>
      </c>
      <c r="B646" s="177">
        <v>44172</v>
      </c>
      <c r="C646" s="171"/>
      <c r="D646" s="171"/>
      <c r="E646" s="171"/>
      <c r="F646" s="171"/>
      <c r="G646" s="167">
        <v>91.456220369999997</v>
      </c>
      <c r="H646" s="167">
        <v>0</v>
      </c>
      <c r="I646" s="167">
        <f>G646+H646</f>
        <v>91.456220369999997</v>
      </c>
      <c r="J646" s="167">
        <v>87.01967037</v>
      </c>
      <c r="K646" s="167">
        <v>0</v>
      </c>
      <c r="L646" s="167">
        <f>J646+K646</f>
        <v>87.01967037</v>
      </c>
      <c r="M646" s="127">
        <f>G646-J646</f>
        <v>4.4365499999999969</v>
      </c>
      <c r="N646" s="167">
        <f>H646-K646</f>
        <v>0</v>
      </c>
      <c r="O646" s="167">
        <f>M646+N646</f>
        <v>4.4365499999999969</v>
      </c>
      <c r="P646" s="178">
        <v>0</v>
      </c>
      <c r="Q646" s="168"/>
      <c r="R646" s="128">
        <v>1</v>
      </c>
      <c r="S646" s="128">
        <v>0</v>
      </c>
      <c r="T646" s="169">
        <v>6</v>
      </c>
      <c r="U646" s="169">
        <v>6</v>
      </c>
      <c r="V646" s="169">
        <v>0</v>
      </c>
      <c r="W646" s="169">
        <v>0</v>
      </c>
      <c r="X646" s="169">
        <f>T646-W646</f>
        <v>6</v>
      </c>
    </row>
    <row r="647" spans="1:24" ht="16.149999999999999" customHeight="1" x14ac:dyDescent="0.2">
      <c r="A647" s="189" t="s">
        <v>1191</v>
      </c>
      <c r="B647" s="189"/>
      <c r="C647" s="189"/>
      <c r="D647" s="189"/>
      <c r="E647" s="189"/>
      <c r="F647" s="189"/>
      <c r="G647" s="190">
        <f>SUM(G646)</f>
        <v>91.456220369999997</v>
      </c>
      <c r="H647" s="190">
        <f t="shared" ref="H647:P647" si="129">SUM(H646)</f>
        <v>0</v>
      </c>
      <c r="I647" s="190">
        <f t="shared" si="129"/>
        <v>91.456220369999997</v>
      </c>
      <c r="J647" s="190">
        <f t="shared" si="129"/>
        <v>87.01967037</v>
      </c>
      <c r="K647" s="190">
        <f t="shared" si="129"/>
        <v>0</v>
      </c>
      <c r="L647" s="190">
        <f t="shared" si="129"/>
        <v>87.01967037</v>
      </c>
      <c r="M647" s="190">
        <f t="shared" si="129"/>
        <v>4.4365499999999969</v>
      </c>
      <c r="N647" s="190">
        <f t="shared" si="129"/>
        <v>0</v>
      </c>
      <c r="O647" s="190">
        <f t="shared" si="129"/>
        <v>4.4365499999999969</v>
      </c>
      <c r="P647" s="190">
        <f t="shared" si="129"/>
        <v>0</v>
      </c>
      <c r="Q647" s="187"/>
      <c r="R647" s="128"/>
      <c r="S647" s="128"/>
      <c r="T647" s="224">
        <f>SUM(T646)</f>
        <v>6</v>
      </c>
      <c r="U647" s="224">
        <f>SUM(U646)</f>
        <v>6</v>
      </c>
      <c r="V647" s="224">
        <f>SUM(V646)</f>
        <v>0</v>
      </c>
      <c r="W647" s="224">
        <f>SUM(W646)</f>
        <v>0</v>
      </c>
      <c r="X647" s="224">
        <f>SUM(X646)</f>
        <v>6</v>
      </c>
    </row>
    <row r="648" spans="1:24" ht="16.149999999999999" customHeight="1" x14ac:dyDescent="0.2">
      <c r="A648" s="220"/>
      <c r="B648" s="221"/>
      <c r="C648" s="221"/>
      <c r="D648" s="221"/>
      <c r="E648" s="221"/>
      <c r="F648" s="221"/>
      <c r="G648" s="187"/>
      <c r="H648" s="146"/>
      <c r="I648" s="187"/>
      <c r="J648" s="146"/>
      <c r="K648" s="146"/>
      <c r="L648" s="146"/>
      <c r="M648" s="126"/>
      <c r="N648" s="146"/>
      <c r="O648" s="146"/>
      <c r="P648" s="146"/>
      <c r="Q648" s="187"/>
      <c r="R648" s="223"/>
      <c r="S648" s="223"/>
      <c r="T648" s="219"/>
      <c r="U648" s="219"/>
      <c r="V648" s="219"/>
      <c r="W648" s="219"/>
      <c r="X648" s="219"/>
    </row>
    <row r="649" spans="1:24" ht="16.149999999999999" customHeight="1" thickBot="1" x14ac:dyDescent="0.25">
      <c r="A649" s="231" t="s">
        <v>68</v>
      </c>
      <c r="B649" s="232"/>
      <c r="C649" s="232"/>
      <c r="D649" s="232"/>
      <c r="E649" s="232"/>
      <c r="F649" s="233"/>
      <c r="G649" s="234">
        <f t="shared" ref="G649:P649" si="130">G139+G207+G360+G404+G423+G453+G502+G542+G583+G605+G610+G615+G627+G632+G638+G643+G647</f>
        <v>425888.3214700222</v>
      </c>
      <c r="H649" s="234">
        <f t="shared" si="130"/>
        <v>57733.49079209</v>
      </c>
      <c r="I649" s="234">
        <f t="shared" si="130"/>
        <v>483599.30318942218</v>
      </c>
      <c r="J649" s="234">
        <f t="shared" si="130"/>
        <v>392842.82098488102</v>
      </c>
      <c r="K649" s="234">
        <f t="shared" si="130"/>
        <v>39700.940916349995</v>
      </c>
      <c r="L649" s="234">
        <f t="shared" si="130"/>
        <v>432543.76190123102</v>
      </c>
      <c r="M649" s="234">
        <f t="shared" si="130"/>
        <v>32966.611071141117</v>
      </c>
      <c r="N649" s="234">
        <f t="shared" si="130"/>
        <v>18032.549875739998</v>
      </c>
      <c r="O649" s="234">
        <f>O139+O207+O360+O404+O423+O453+O502+O542+O583+O605+O610+O615+O627+O632+O638+O643+O647</f>
        <v>50999.160946881108</v>
      </c>
      <c r="P649" s="234">
        <f t="shared" si="130"/>
        <v>57573.472824310011</v>
      </c>
      <c r="Q649" s="235"/>
      <c r="R649" s="236"/>
      <c r="S649" s="236"/>
      <c r="T649" s="237">
        <f>T139+T207+T360+T404+T423+T453+T502+T542+T583+T605+T610+T615+T627+T632+T638+T643+T647</f>
        <v>36882</v>
      </c>
      <c r="U649" s="237">
        <f>U139+U207+U360+U404+U423+U453+U502+U542+U583+U605+U610+U615+U627+U632+U638+U643+U647</f>
        <v>163772</v>
      </c>
      <c r="V649" s="237">
        <f>V139+V207+V360+V404+V423+V453+V502+V542+V583+V605+V610+V615+V627+V632+V638+V643+V647</f>
        <v>669</v>
      </c>
      <c r="W649" s="237">
        <f>W139+W207+W360+W404+W423+W453+W502+W542+W583+W605+W610+W615+W627+W632+W638+W643+W647</f>
        <v>31828</v>
      </c>
      <c r="X649" s="237">
        <f>X139+X207+X360+X404+X423+X453+X502+X542+X583+X605+X610+X615+X627+X632+X638+X643+X647</f>
        <v>5054</v>
      </c>
    </row>
    <row r="650" spans="1:24" ht="16.149999999999999" customHeight="1" thickTop="1" x14ac:dyDescent="0.2">
      <c r="A650" s="194"/>
      <c r="B650" s="155"/>
      <c r="C650" s="155"/>
      <c r="D650" s="155"/>
      <c r="E650" s="155"/>
      <c r="F650" s="194"/>
      <c r="G650" s="194"/>
      <c r="H650" s="194"/>
      <c r="I650" s="194"/>
      <c r="J650" s="194"/>
      <c r="K650" s="194"/>
      <c r="L650" s="187"/>
      <c r="M650" s="133"/>
      <c r="N650" s="187"/>
      <c r="O650" s="187"/>
      <c r="P650" s="187"/>
      <c r="Q650" s="194"/>
      <c r="R650" s="238"/>
      <c r="S650" s="211"/>
      <c r="T650" s="239"/>
      <c r="U650" s="239"/>
      <c r="V650" s="194"/>
      <c r="W650" s="194"/>
      <c r="X650" s="194"/>
    </row>
    <row r="651" spans="1:24" ht="16.149999999999999" customHeight="1" x14ac:dyDescent="0.2">
      <c r="A651" s="194"/>
      <c r="B651" s="155"/>
      <c r="C651" s="155"/>
      <c r="D651" s="155"/>
      <c r="E651" s="155"/>
      <c r="F651" s="194"/>
      <c r="G651" s="187"/>
      <c r="H651" s="194"/>
      <c r="I651" s="187"/>
      <c r="J651" s="194"/>
      <c r="K651" s="194"/>
      <c r="L651" s="187"/>
      <c r="M651" s="133"/>
      <c r="N651" s="187"/>
      <c r="O651" s="187"/>
      <c r="P651" s="187"/>
      <c r="Q651" s="194"/>
      <c r="R651" s="239"/>
      <c r="S651" s="238"/>
      <c r="T651" s="194"/>
      <c r="U651" s="194"/>
      <c r="V651" s="194"/>
      <c r="W651" s="194"/>
      <c r="X651" s="194"/>
    </row>
    <row r="652" spans="1:24" ht="16.149999999999999" customHeight="1" x14ac:dyDescent="0.2">
      <c r="A652" s="194"/>
      <c r="B652" s="155"/>
      <c r="C652" s="155"/>
      <c r="D652" s="155"/>
      <c r="E652" s="155"/>
      <c r="F652" s="194"/>
      <c r="G652" s="194"/>
      <c r="H652" s="194"/>
      <c r="I652" s="194"/>
      <c r="J652" s="194"/>
      <c r="K652" s="194"/>
      <c r="L652" s="194"/>
      <c r="M652" s="133"/>
      <c r="N652" s="137"/>
      <c r="O652" s="187"/>
      <c r="P652" s="194"/>
      <c r="Q652" s="194"/>
      <c r="R652" s="195"/>
      <c r="S652" s="211"/>
      <c r="T652" s="194"/>
      <c r="U652" s="194"/>
      <c r="V652" s="194"/>
      <c r="W652" s="194"/>
      <c r="X652" s="194"/>
    </row>
    <row r="653" spans="1:24" ht="16.149999999999999" customHeight="1" x14ac:dyDescent="0.2">
      <c r="A653" s="194"/>
      <c r="B653" s="155"/>
      <c r="C653" s="155"/>
      <c r="D653" s="155"/>
      <c r="E653" s="155"/>
      <c r="F653" s="194"/>
      <c r="G653" s="194"/>
      <c r="H653" s="194"/>
      <c r="I653" s="194"/>
      <c r="J653" s="194"/>
      <c r="K653" s="194"/>
      <c r="L653" s="194"/>
      <c r="M653" s="133"/>
      <c r="N653" s="137"/>
      <c r="O653" s="194"/>
      <c r="P653" s="194"/>
      <c r="Q653" s="194"/>
      <c r="R653" s="195"/>
      <c r="S653" s="211"/>
      <c r="T653" s="194"/>
      <c r="U653" s="175"/>
      <c r="V653" s="194"/>
      <c r="W653" s="194"/>
      <c r="X653" s="194"/>
    </row>
    <row r="654" spans="1:24" ht="16.149999999999999" customHeight="1" x14ac:dyDescent="0.2">
      <c r="A654" s="194"/>
      <c r="B654" s="155"/>
      <c r="C654" s="155"/>
      <c r="D654" s="155"/>
      <c r="E654" s="155"/>
      <c r="F654" s="194"/>
      <c r="G654" s="194"/>
      <c r="H654" s="194"/>
      <c r="I654" s="194"/>
      <c r="J654" s="194"/>
      <c r="K654" s="194"/>
      <c r="L654" s="194"/>
      <c r="M654" s="133"/>
      <c r="N654" s="137"/>
      <c r="O654" s="194"/>
      <c r="P654" s="194"/>
      <c r="Q654" s="194"/>
      <c r="R654" s="195"/>
      <c r="S654" s="194"/>
      <c r="T654" s="194"/>
      <c r="U654" s="194"/>
      <c r="V654" s="194"/>
      <c r="W654" s="194"/>
      <c r="X654" s="194"/>
    </row>
    <row r="655" spans="1:24" ht="16.149999999999999" customHeight="1" x14ac:dyDescent="0.2">
      <c r="A655" s="194"/>
      <c r="B655" s="155"/>
      <c r="C655" s="155"/>
      <c r="D655" s="155"/>
      <c r="E655" s="155"/>
      <c r="F655" s="194"/>
      <c r="G655" s="194"/>
      <c r="H655" s="194"/>
      <c r="I655" s="194"/>
      <c r="J655" s="194"/>
      <c r="K655" s="194"/>
      <c r="L655" s="194"/>
      <c r="M655" s="133"/>
      <c r="N655" s="194"/>
      <c r="O655" s="194"/>
      <c r="P655" s="194"/>
      <c r="Q655" s="194"/>
      <c r="R655" s="195"/>
      <c r="S655" s="211"/>
      <c r="T655" s="194"/>
      <c r="U655" s="194"/>
      <c r="V655" s="194"/>
      <c r="W655" s="194"/>
      <c r="X655" s="194"/>
    </row>
    <row r="656" spans="1:24" ht="16.149999999999999" customHeight="1" x14ac:dyDescent="0.2">
      <c r="A656" s="194"/>
      <c r="B656" s="194"/>
      <c r="C656" s="194"/>
      <c r="D656" s="194"/>
      <c r="E656" s="194"/>
      <c r="F656" s="194"/>
      <c r="G656" s="194"/>
      <c r="H656" s="194"/>
      <c r="I656" s="194"/>
      <c r="J656" s="194"/>
      <c r="K656" s="194"/>
      <c r="L656" s="194"/>
      <c r="M656" s="194"/>
      <c r="N656" s="194"/>
      <c r="O656" s="194"/>
      <c r="P656" s="194"/>
      <c r="Q656" s="194"/>
      <c r="R656" s="195"/>
      <c r="S656" s="211"/>
      <c r="T656" s="194"/>
      <c r="U656" s="194"/>
      <c r="V656" s="194"/>
      <c r="W656" s="194"/>
      <c r="X656" s="194"/>
    </row>
    <row r="657" spans="1:24" ht="16.149999999999999" customHeight="1" x14ac:dyDescent="0.2">
      <c r="A657" s="194"/>
      <c r="B657" s="155"/>
      <c r="C657" s="155"/>
      <c r="D657" s="155"/>
      <c r="E657" s="155"/>
      <c r="F657" s="194"/>
      <c r="G657" s="194"/>
      <c r="H657" s="194"/>
      <c r="I657" s="194"/>
      <c r="J657" s="194"/>
      <c r="K657" s="194"/>
      <c r="L657" s="194"/>
      <c r="M657" s="133"/>
      <c r="N657" s="194"/>
      <c r="O657" s="194"/>
      <c r="P657" s="194"/>
      <c r="Q657" s="194"/>
      <c r="R657" s="195"/>
      <c r="S657" s="211"/>
      <c r="T657" s="194"/>
      <c r="U657" s="194"/>
      <c r="V657" s="194"/>
      <c r="W657" s="194"/>
      <c r="X657" s="194"/>
    </row>
    <row r="658" spans="1:24" ht="16.149999999999999" customHeight="1" x14ac:dyDescent="0.2">
      <c r="A658" s="194"/>
      <c r="B658" s="155"/>
      <c r="C658" s="155"/>
      <c r="D658" s="155"/>
      <c r="E658" s="155"/>
      <c r="F658" s="194"/>
      <c r="G658" s="194"/>
      <c r="H658" s="194"/>
      <c r="I658" s="194"/>
      <c r="J658" s="194"/>
      <c r="K658" s="194"/>
      <c r="L658" s="194"/>
      <c r="M658" s="133"/>
      <c r="N658" s="194"/>
      <c r="O658" s="194"/>
      <c r="P658" s="194"/>
      <c r="Q658" s="194"/>
      <c r="R658" s="195"/>
      <c r="S658" s="211"/>
      <c r="T658" s="194"/>
      <c r="U658" s="194"/>
      <c r="V658" s="194"/>
      <c r="W658" s="194"/>
      <c r="X658" s="194"/>
    </row>
  </sheetData>
  <mergeCells count="22">
    <mergeCell ref="A6:A7"/>
    <mergeCell ref="B6:B7"/>
    <mergeCell ref="C6:C7"/>
    <mergeCell ref="D6:D7"/>
    <mergeCell ref="E6:E7"/>
    <mergeCell ref="F6:F7"/>
    <mergeCell ref="G6:G7"/>
    <mergeCell ref="H6:H7"/>
    <mergeCell ref="I6:I7"/>
    <mergeCell ref="J6:J7"/>
    <mergeCell ref="K6:K7"/>
    <mergeCell ref="L6:L7"/>
    <mergeCell ref="U6:U7"/>
    <mergeCell ref="V6:V7"/>
    <mergeCell ref="W6:W7"/>
    <mergeCell ref="X6:X7"/>
    <mergeCell ref="M6:M7"/>
    <mergeCell ref="N6:N7"/>
    <mergeCell ref="O6:O7"/>
    <mergeCell ref="P6:P7"/>
    <mergeCell ref="R6:S6"/>
    <mergeCell ref="T6:T7"/>
  </mergeCells>
  <printOptions horizontalCentered="1"/>
  <pageMargins left="0.19685039370078741" right="0.19685039370078741" top="0.39370078740157483" bottom="0.39370078740157483" header="0.19685039370078741" footer="0.19685039370078741"/>
  <pageSetup paperSize="9" scale="50" fitToHeight="26" orientation="landscape" r:id="rId1"/>
  <headerFooter>
    <oddHeader>&amp;C&amp;12&amp;UAnexo Nº 7</oddHeader>
    <oddFooter>&amp;C&amp;"Arial,Negrita"&amp;12SI-FOS-01 Informe general de Proyectos Art. 59 en proceso, Dirección FOSUVI, &amp;D&amp;R&amp;"Arial,Negrita"&amp;12Página &amp;P de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2</vt:lpstr>
      <vt:lpstr>3</vt:lpstr>
      <vt:lpstr>4</vt:lpstr>
      <vt:lpstr>5a</vt:lpstr>
      <vt:lpstr>5b</vt:lpstr>
      <vt:lpstr>5c</vt:lpstr>
      <vt:lpstr>6</vt:lpstr>
      <vt:lpstr>7</vt:lpstr>
      <vt:lpstr>'2'!Área_de_impresión</vt:lpstr>
      <vt:lpstr>'3'!Área_de_impresión</vt:lpstr>
      <vt:lpstr>'4'!Área_de_impresión</vt:lpstr>
      <vt:lpstr>'6'!Área_de_impresión</vt:lpstr>
      <vt:lpstr>'4'!Títulos_a_imprimir</vt:lpstr>
    </vt:vector>
  </TitlesOfParts>
  <Company>B.Hipotecario de la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Bolaños Rojas</dc:creator>
  <cp:lastModifiedBy>Chavarría Calderón Sugey</cp:lastModifiedBy>
  <cp:lastPrinted>2021-04-29T14:16:15Z</cp:lastPrinted>
  <dcterms:created xsi:type="dcterms:W3CDTF">2005-11-18T19:55:50Z</dcterms:created>
  <dcterms:modified xsi:type="dcterms:W3CDTF">2021-04-30T21:18:27Z</dcterms:modified>
</cp:coreProperties>
</file>